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NguoiLienQuan" sheetId="7" r:id="rId7"/>
    <sheet name="TKGD_BDS" sheetId="8" r:id="rId8"/>
    <sheet name="PhanHoiNHGS_06276" sheetId="9" r:id="rId9"/>
    <sheet name="SheetHidden" sheetId="10" state="hidden" r:id="rId10"/>
  </sheets>
  <definedNames>
    <definedName name="_xlfn.IFERROR" hidden="1">#NAME?</definedName>
  </definedNames>
  <calcPr fullCalcOnLoad="1"/>
</workbook>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8" authorId="0">
      <text>
        <r>
          <rPr>
            <b/>
            <sz val="9"/>
            <rFont val="Tahoma"/>
            <family val="2"/>
          </rPr>
          <t>ngoantth:</t>
        </r>
        <r>
          <rPr>
            <sz val="9"/>
            <rFont val="Tahoma"/>
            <family val="2"/>
          </rPr>
          <t xml:space="preserve">
CHECK LẠI MÃ CK</t>
        </r>
      </text>
    </comment>
    <comment ref="G23" authorId="0">
      <text>
        <r>
          <rPr>
            <b/>
            <sz val="9"/>
            <rFont val="Tahoma"/>
            <family val="2"/>
          </rPr>
          <t>ngoantth:</t>
        </r>
        <r>
          <rPr>
            <sz val="9"/>
            <rFont val="Tahoma"/>
            <family val="2"/>
          </rPr>
          <t xml:space="preserve">
CHECK LẠI
THIẾU TRÁI PHIẾU KBC
</t>
        </r>
      </text>
    </comment>
    <comment ref="F42"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ký tự</t>
        </r>
      </text>
    </comment>
    <comment ref="F21" authorId="0">
      <text>
        <r>
          <rPr>
            <sz val="10"/>
            <rFont val="Arial"/>
            <family val="0"/>
          </rPr>
          <t>Ô chỉ tiêu có định dạng ký tự</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ký tự
Dữ liệu động đầu vào hợp lệ khi chỉ được thêm dòng trên ô này.</t>
        </r>
      </text>
    </comment>
    <comment ref="F26"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ký tự</t>
        </r>
      </text>
    </comment>
    <comment ref="F27" authorId="0">
      <text>
        <r>
          <rPr>
            <sz val="10"/>
            <rFont val="Arial"/>
            <family val="0"/>
          </rPr>
          <t>Ô chỉ tiêu có định dạng ký tự</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ký tự
Dữ liệu động đầu vào hợp lệ khi chỉ được thêm dòng trên ô này.</t>
        </r>
      </text>
    </comment>
    <comment ref="F29"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<sst xmlns="http://schemas.openxmlformats.org/spreadsheetml/2006/main" count="1155" uniqueCount="406">
  <si>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</si>
  <si>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</si>
  <si>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</si>
  <si>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</si>
  <si>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</si>
  <si>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</si>
  <si>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</si>
  <si>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</si>
  <si>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</si>
  <si>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</si>
  <si>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</si>
  <si>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</si>
  <si>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</si>
  <si>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</si>
  <si>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</si>
  <si>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</si>
  <si>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</si>
  <si>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</si>
  <si>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</si>
  <si>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</si>
  <si>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</si>
  <si>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</si>
  <si>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</si>
  <si>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</si>
  <si>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</si>
  <si>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</si>
  <si>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</si>
  <si>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</si>
  <si>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</si>
  <si>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</si>
  <si>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</si>
  <si>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</si>
  <si>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</si>
  <si>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</si>
  <si>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</si>
  <si>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</si>
  <si>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</si>
  <si>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</si>
  <si>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</si>
  <si>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</si>
  <si>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</si>
  <si>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</si>
  <si>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</si>
  <si>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</si>
  <si>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</si>
  <si>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</si>
  <si>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</si>
  <si>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</si>
  <si>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</si>
  <si>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</si>
  <si>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</si>
  <si>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</si>
  <si>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</si>
  <si>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</si>
  <si>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</si>
  <si>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</si>
  <si>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</si>
  <si>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</si>
  <si>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</si>
  <si>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</si>
  <si>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2200</t>
  </si>
  <si>
    <t>I.1</t>
  </si>
  <si>
    <t>2201</t>
  </si>
  <si>
    <t>2202</t>
  </si>
  <si>
    <t>...</t>
  </si>
  <si>
    <t>2203</t>
  </si>
  <si>
    <t>I.2</t>
  </si>
  <si>
    <t>2205</t>
  </si>
  <si>
    <t>I.3</t>
  </si>
  <si>
    <t>2220</t>
  </si>
  <si>
    <t>I.4</t>
  </si>
  <si>
    <t>2206</t>
  </si>
  <si>
    <t>I.5</t>
  </si>
  <si>
    <t>2207</t>
  </si>
  <si>
    <t>I.6</t>
  </si>
  <si>
    <t>2221</t>
  </si>
  <si>
    <t>I.7</t>
  </si>
  <si>
    <t>2208</t>
  </si>
  <si>
    <t>I.8</t>
  </si>
  <si>
    <t>2210</t>
  </si>
  <si>
    <t>I.9</t>
  </si>
  <si>
    <t>2211</t>
  </si>
  <si>
    <t>I.10</t>
  </si>
  <si>
    <t>2212</t>
  </si>
  <si>
    <t>II</t>
  </si>
  <si>
    <t>2213</t>
  </si>
  <si>
    <t>II.1</t>
  </si>
  <si>
    <t>2222</t>
  </si>
  <si>
    <t>II.2</t>
  </si>
  <si>
    <t>2214</t>
  </si>
  <si>
    <t>II.3</t>
  </si>
  <si>
    <t>2215</t>
  </si>
  <si>
    <t>II.4</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</si>
  <si>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</si>
  <si>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</si>
  <si>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</si>
  <si>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</si>
  <si>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</si>
  <si>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</si>
  <si>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</si>
  <si>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</si>
  <si>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</si>
  <si>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</si>
  <si>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</si>
  <si>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</si>
  <si>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</si>
  <si>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</si>
  <si>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</si>
  <si>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</si>
  <si>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</si>
  <si>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</si>
  <si>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</si>
  <si>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</si>
  <si>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</si>
  <si>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</si>
  <si>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</si>
  <si>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</si>
  <si>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</si>
  <si>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</si>
  <si>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</si>
  <si>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</si>
  <si>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</si>
  <si>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</si>
  <si>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</si>
  <si>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</si>
  <si>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</si>
  <si>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</si>
  <si>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</si>
  <si>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</si>
  <si>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</si>
  <si>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Loại tài sản</t>
  </si>
  <si>
    <t>Số lượng</t>
  </si>
  <si>
    <t>Giá thị trường hoặc giá trị hợp lý tại ngày báo cáo</t>
  </si>
  <si>
    <t>Tổng giá trị</t>
  </si>
  <si>
    <t>Tỷ lệ %/Tổng giá trị tài sản của quỹ</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</si>
  <si>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</si>
  <si>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</si>
  <si>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</si>
  <si>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</si>
  <si>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</si>
  <si>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</si>
  <si>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</si>
  <si>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</si>
  <si>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</si>
  <si>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</si>
  <si>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</si>
  <si>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</si>
  <si>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</si>
  <si>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</si>
  <si>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</si>
  <si>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</si>
  <si>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</si>
  <si>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</si>
  <si>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</si>
  <si>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</si>
  <si>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</si>
  <si>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</si>
  <si>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</si>
  <si>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</si>
  <si>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</si>
  <si>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</si>
  <si>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</si>
  <si>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</si>
  <si>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</si>
  <si>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</si>
  <si>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</si>
  <si>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</si>
  <si>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</si>
  <si>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</si>
  <si>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</si>
  <si>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</si>
  <si>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</si>
  <si>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</si>
  <si>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</si>
  <si>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</si>
  <si>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</si>
  <si>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</si>
  <si>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</si>
  <si>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</si>
  <si>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</si>
  <si>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</si>
  <si>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</si>
  <si>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</si>
  <si>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</si>
  <si>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</si>
  <si>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</si>
  <si>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</si>
  <si>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</si>
  <si>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</si>
  <si>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</si>
  <si>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</si>
  <si>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</si>
  <si>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</si>
  <si>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</si>
  <si>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</si>
  <si>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</si>
  <si>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</si>
  <si>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</si>
  <si>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</si>
  <si>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</si>
  <si>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</si>
  <si>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</si>
  <si>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</si>
  <si>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</si>
  <si>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</si>
  <si>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</si>
  <si>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</si>
  <si>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</si>
  <si>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</si>
  <si>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</si>
  <si>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</si>
  <si>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</si>
  <si>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</si>
  <si>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</si>
  <si>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</si>
  <si>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</si>
  <si>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</si>
  <si>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</si>
  <si>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</si>
  <si>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</si>
  <si>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</si>
  <si>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</si>
  <si>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</si>
  <si>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</si>
  <si>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</si>
  <si>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</si>
  <si>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</si>
  <si>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</si>
  <si>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</si>
  <si>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</si>
  <si>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</si>
  <si>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</si>
  <si>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</si>
  <si>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</si>
  <si>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</si>
  <si>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</si>
  <si>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</si>
  <si>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</si>
  <si>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</si>
  <si>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</si>
  <si>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</si>
  <si>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</si>
  <si>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</si>
  <si>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</si>
  <si>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</si>
  <si>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</si>
  <si>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</si>
  <si>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</si>
  <si>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</si>
  <si>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</si>
  <si>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</si>
  <si>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</si>
  <si>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</si>
  <si>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</si>
  <si>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</si>
  <si>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</si>
  <si>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</si>
  <si>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</si>
  <si>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</si>
  <si>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</si>
  <si>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</si>
  <si>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</si>
  <si>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</si>
  <si>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</si>
  <si>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</si>
  <si>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</si>
  <si>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</si>
  <si>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</si>
  <si>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</si>
  <si>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</si>
  <si>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</si>
  <si>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</si>
  <si>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</si>
  <si>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</si>
  <si>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</si>
  <si>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</si>
  <si>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</si>
  <si>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</si>
  <si>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</si>
  <si>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</si>
  <si>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</si>
  <si>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</si>
  <si>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</si>
  <si>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</si>
  <si>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</si>
  <si>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</si>
  <si>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</si>
  <si>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</si>
  <si>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</si>
  <si>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</si>
  <si>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</si>
  <si>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</si>
  <si>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</si>
  <si>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</si>
  <si>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</si>
  <si>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</si>
  <si>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</si>
  <si>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</si>
  <si>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</si>
  <si>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</si>
  <si>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</si>
  <si>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</si>
  <si>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</si>
  <si>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</si>
  <si>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</si>
  <si>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</si>
  <si>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</si>
  <si>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</si>
  <si>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</si>
  <si>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</si>
  <si>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</si>
  <si>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</si>
  <si>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</si>
  <si>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</si>
  <si>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</si>
  <si>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</si>
  <si>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</si>
  <si>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</si>
  <si>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</si>
  <si>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</si>
  <si>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</si>
  <si>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</si>
  <si>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</si>
  <si>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</si>
  <si>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 xml:space="preserve">     KBC2021.AB      </t>
  </si>
  <si>
    <t xml:space="preserve">     MSN12001        </t>
  </si>
  <si>
    <t xml:space="preserve">     VJC11912        </t>
  </si>
  <si>
    <t xml:space="preserve">     BONDDHDG/2020.02</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</si>
  <si>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</si>
  <si>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</si>
  <si>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</si>
  <si>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</si>
  <si>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</si>
  <si>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</si>
  <si>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</si>
  <si>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</si>
  <si>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</si>
  <si>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</si>
  <si>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</si>
  <si>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</si>
  <si>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</si>
  <si>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</si>
  <si>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</si>
  <si>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</si>
  <si>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</si>
  <si>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</si>
  <si>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</si>
  <si>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</si>
  <si>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</si>
  <si>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</si>
  <si>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</si>
  <si>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</si>
  <si>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</si>
  <si>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</si>
  <si>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</si>
  <si>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</si>
  <si>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Các chỉ tiêu về hiệu quả hoạt động
</t>
    </r>
    <r>
      <rPr>
        <i/>
        <sz val="12"/>
        <rFont val="Times New Roman"/>
        <family val="1"/>
      </rPr>
      <t>Investment performance indicators</t>
    </r>
  </si>
  <si>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</si>
  <si>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</si>
  <si>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</si>
  <si>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</si>
  <si>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</si>
  <si>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</si>
  <si>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</si>
  <si>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</si>
  <si>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</si>
  <si>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</si>
  <si>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</si>
  <si>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</si>
  <si>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</si>
  <si>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</si>
  <si>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</si>
  <si>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</si>
  <si>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</si>
  <si>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Thông tin về người có liên quan (nêu chi tiết tên cá nhân, tổ chức)</t>
  </si>
  <si>
    <t>Số Giấy CMND/ CCCD/Hộ chiếu/ Số Giấy chứng nhận đăng ký doanh nghiệp</t>
  </si>
  <si>
    <t>Tổng giá trị giao dịch (VND)</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</si>
  <si>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</si>
  <si>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</si>
  <si>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</si>
  <si>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</si>
  <si>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</si>
  <si>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</si>
  <si>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</si>
  <si>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</si>
  <si>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</si>
  <si>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</si>
  <si>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Quý</t>
  </si>
  <si>
    <t>4. Ngày lập báo cáo: 20/10/2021</t>
  </si>
  <si>
    <t>Bất động sản đầu tư (không áp dụng)
Real estate investment (Not applicable)</t>
  </si>
  <si>
    <t>Cổ phiếu niêm yết,đăng ký giao dịch, chứng chỉ quỹ niêm yết
List shares, trading registration shared, list fund certificates</t>
  </si>
  <si>
    <t xml:space="preserve">     FPT             </t>
  </si>
  <si>
    <t xml:space="preserve">     HPG             </t>
  </si>
  <si>
    <t xml:space="preserve">     MBB             </t>
  </si>
  <si>
    <t xml:space="preserve">     MSN             </t>
  </si>
  <si>
    <t xml:space="preserve">     REE             </t>
  </si>
  <si>
    <t>Cổ phiếu chưa niêm yết, đăng ký giao dịch, chứng chỉ quỹ không niêm yết
Unlist shares, trading registration shared, Unlist fund certificates</t>
  </si>
  <si>
    <t xml:space="preserve">     PDRH2123002     </t>
  </si>
  <si>
    <r>
      <t xml:space="preserve">Tổng
</t>
    </r>
    <r>
      <rPr>
        <b/>
        <i/>
        <sz val="8"/>
        <color indexed="8"/>
        <rFont val="Tahoma"/>
        <family val="2"/>
      </rPr>
      <t>Total</t>
    </r>
  </si>
  <si>
    <r>
      <t xml:space="preserve">Tổng
</t>
    </r>
    <r>
      <rPr>
        <i/>
        <sz val="8"/>
        <color indexed="8"/>
        <rFont val="Tahoma"/>
        <family val="2"/>
      </rPr>
      <t>Total</t>
    </r>
  </si>
  <si>
    <r>
      <t xml:space="preserve">Tổng các loại cổ phiếu
</t>
    </r>
    <r>
      <rPr>
        <b/>
        <i/>
        <sz val="8"/>
        <color indexed="8"/>
        <rFont val="Tahoma"/>
        <family val="2"/>
      </rPr>
      <t>Total shares</t>
    </r>
  </si>
  <si>
    <r>
      <t xml:space="preserve">Trái phiếu
</t>
    </r>
    <r>
      <rPr>
        <b/>
        <i/>
        <sz val="8"/>
        <color indexed="8"/>
        <rFont val="Tahoma"/>
        <family val="2"/>
      </rPr>
      <t>Bonds</t>
    </r>
  </si>
  <si>
    <r>
      <t xml:space="preserve">Các loại chứng khoán khác
</t>
    </r>
    <r>
      <rPr>
        <b/>
        <i/>
        <sz val="8"/>
        <color indexed="8"/>
        <rFont val="Tahoma"/>
        <family val="2"/>
      </rPr>
      <t>Other sercurities</t>
    </r>
  </si>
  <si>
    <r>
      <t xml:space="preserve">Quyền mua
</t>
    </r>
    <r>
      <rPr>
        <i/>
        <sz val="8"/>
        <color indexed="8"/>
        <rFont val="Tahoma"/>
        <family val="2"/>
      </rPr>
      <t>Rights</t>
    </r>
  </si>
  <si>
    <r>
      <t xml:space="preserve">Tổng các loại chứng khoán
</t>
    </r>
    <r>
      <rPr>
        <b/>
        <i/>
        <sz val="8"/>
        <color indexed="8"/>
        <rFont val="Tahoma"/>
        <family val="2"/>
      </rPr>
      <t>Total securities</t>
    </r>
  </si>
  <si>
    <r>
      <t xml:space="preserve">Các tài sản khác
</t>
    </r>
    <r>
      <rPr>
        <b/>
        <i/>
        <sz val="8"/>
        <color indexed="8"/>
        <rFont val="Tahoma"/>
        <family val="2"/>
      </rPr>
      <t>Other assets</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</si>
</sst>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s>
  <fonts count="66">
    <font>
      <sz val="10"/>
      <name val="Arial"/>
      <family val="0"/>
    </font>
    <font>
      <sz val="12"/>
      <name val="Times New Roman"/>
      <family val="1"/>
    </font>
    <font>
      <b/>
      <sz val="12"/>
      <name val="Times New Roman"/>
      <family val="1"/>
    </font>
    <font>
      <i/>
      <sz val="12"/>
      <name val="Times New Roman"/>
      <family val="1"/>
    </font>
    <font>
      <sz val="9"/>
      <name val="Tahoma"/>
      <family val="2"/>
    </font>
    <font>
      <b/>
      <sz val="9"/>
      <name val="Tahoma"/>
      <family val="2"/>
    </font>
    <font>
      <sz val="10"/>
      <name val="Tahoma"/>
      <family val="2"/>
    </font>
    <font>
      <b/>
      <sz val="9.5"/>
      <name val="Times New Roman"/>
      <family val="1"/>
    </font>
    <font>
      <sz val="9.5"/>
      <name val="Times New Roman"/>
      <family val="1"/>
    </font>
    <font>
      <b/>
      <sz val="14"/>
      <name val="Times New Roman"/>
      <family val="0"/>
    </font>
    <font>
      <b/>
      <i/>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Times New Roman"/>
      <family val="1"/>
    </font>
    <font>
      <sz val="10"/>
      <color indexed="8"/>
      <name val="Times New Roman"/>
      <family val="1"/>
    </font>
    <font>
      <b/>
      <sz val="10"/>
      <color indexed="8"/>
      <name val="Times New Roman"/>
      <family val="1"/>
    </font>
    <font>
      <sz val="9.5"/>
      <color indexed="8"/>
      <name val="Times New Roman"/>
      <family val="1"/>
    </font>
    <font>
      <b/>
      <sz val="9.5"/>
      <color indexed="8"/>
      <name val="Times New Roman"/>
      <family val="1"/>
    </font>
    <font>
      <i/>
      <sz val="9.5"/>
      <color indexed="8"/>
      <name val="Times New Roman"/>
      <family val="1"/>
    </font>
    <font>
      <b/>
      <sz val="8"/>
      <color indexed="8"/>
      <name val="Tahoma"/>
      <family val="2"/>
    </font>
    <font>
      <sz val="8"/>
      <color indexed="8"/>
      <name val="Tahoma"/>
      <family val="2"/>
    </font>
    <font>
      <sz val="8"/>
      <color indexed="8"/>
      <name val="Arial"/>
      <family val="2"/>
    </font>
    <font>
      <b/>
      <i/>
      <sz val="8"/>
      <color indexed="8"/>
      <name val="Tahoma"/>
      <family val="2"/>
    </font>
    <font>
      <i/>
      <sz val="8"/>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Times New Roman"/>
      <family val="1"/>
    </font>
    <font>
      <sz val="10"/>
      <color theme="1"/>
      <name val="Times New Roman"/>
      <family val="1"/>
    </font>
    <font>
      <b/>
      <sz val="10"/>
      <color theme="1"/>
      <name val="Times New Roman"/>
      <family val="1"/>
    </font>
    <font>
      <sz val="9.5"/>
      <color theme="1"/>
      <name val="Times New Roman"/>
      <family val="1"/>
    </font>
    <font>
      <b/>
      <sz val="9.5"/>
      <color theme="1"/>
      <name val="Times New Roman"/>
      <family val="1"/>
    </font>
    <font>
      <i/>
      <sz val="9.5"/>
      <color theme="1"/>
      <name val="Times New Roman"/>
      <family val="1"/>
    </font>
    <font>
      <b/>
      <sz val="8"/>
      <color theme="1"/>
      <name val="Tahoma"/>
      <family val="2"/>
    </font>
    <font>
      <sz val="8"/>
      <color theme="1"/>
      <name val="Tahoma"/>
      <family val="2"/>
    </font>
    <font>
      <sz val="8"/>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9"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3">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0" xfId="0" applyFont="1" applyAlignment="1">
      <alignment/>
    </xf>
    <xf numFmtId="10" fontId="6" fillId="34" borderId="11" xfId="42" applyNumberFormat="1" applyFont="1" applyFill="1" applyBorder="1" applyAlignment="1" applyProtection="1">
      <alignment vertical="center" wrapText="1"/>
      <protection/>
    </xf>
    <xf numFmtId="0" fontId="2" fillId="33" borderId="10" xfId="0" applyFont="1" applyFill="1" applyBorder="1" applyAlignment="1">
      <alignment horizontal="center" vertical="justify"/>
    </xf>
    <xf numFmtId="0" fontId="1" fillId="0" borderId="0" xfId="0" applyFont="1" applyAlignment="1">
      <alignment/>
    </xf>
    <xf numFmtId="0" fontId="2" fillId="33" borderId="10" xfId="0" applyFont="1" applyFill="1" applyBorder="1" applyAlignment="1">
      <alignment horizontal="center" vertical="justify" wrapText="1"/>
    </xf>
    <xf numFmtId="0" fontId="1" fillId="0" borderId="0" xfId="0" applyFont="1" applyAlignment="1">
      <alignment wrapText="1"/>
    </xf>
    <xf numFmtId="0" fontId="1" fillId="34" borderId="11" xfId="0" applyNumberFormat="1" applyFont="1" applyFill="1" applyBorder="1" applyAlignment="1" applyProtection="1">
      <alignment horizontal="left" vertical="center" wrapText="1"/>
      <protection/>
    </xf>
    <xf numFmtId="10" fontId="1" fillId="34" borderId="11" xfId="42" applyNumberFormat="1" applyFont="1" applyFill="1" applyBorder="1" applyAlignment="1" applyProtection="1">
      <alignment horizontal="right" vertical="center" wrapText="1"/>
      <protection/>
    </xf>
    <xf numFmtId="10"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vertical="center" wrapText="1"/>
      <protection/>
    </xf>
    <xf numFmtId="181" fontId="1" fillId="34" borderId="11" xfId="42" applyNumberFormat="1" applyFont="1" applyFill="1" applyBorder="1" applyAlignment="1" applyProtection="1">
      <alignment vertical="center" wrapText="1"/>
      <protection locked="0"/>
    </xf>
    <xf numFmtId="181" fontId="1" fillId="34" borderId="11" xfId="42" applyNumberFormat="1" applyFont="1" applyFill="1" applyBorder="1" applyAlignment="1" applyProtection="1">
      <alignment horizontal="right" vertical="center" wrapText="1"/>
      <protection/>
    </xf>
    <xf numFmtId="179" fontId="1" fillId="34" borderId="11" xfId="42" applyFont="1" applyFill="1" applyBorder="1" applyAlignment="1" applyProtection="1">
      <alignment horizontal="right" vertical="center" wrapText="1"/>
      <protection/>
    </xf>
    <xf numFmtId="43" fontId="1" fillId="34" borderId="11" xfId="42" applyNumberFormat="1" applyFont="1" applyFill="1" applyBorder="1" applyAlignment="1" applyProtection="1">
      <alignment vertical="center" wrapText="1"/>
      <protection/>
    </xf>
    <xf numFmtId="179" fontId="1" fillId="34" borderId="11" xfId="42" applyNumberFormat="1" applyFont="1" applyFill="1" applyBorder="1" applyAlignment="1" applyProtection="1">
      <alignment vertical="center" wrapText="1"/>
      <protection/>
    </xf>
    <xf numFmtId="0" fontId="1" fillId="34" borderId="11" xfId="0" applyNumberFormat="1" applyFont="1" applyFill="1" applyBorder="1" applyAlignment="1" applyProtection="1">
      <alignment vertical="center" wrapText="1"/>
      <protection/>
    </xf>
    <xf numFmtId="179" fontId="1" fillId="34" borderId="11" xfId="42" applyNumberFormat="1" applyFont="1" applyFill="1" applyBorder="1" applyAlignment="1" applyProtection="1">
      <alignment horizontal="right" vertical="center" wrapText="1"/>
      <protection/>
    </xf>
    <xf numFmtId="0" fontId="2" fillId="34" borderId="10" xfId="0" applyFont="1" applyFill="1" applyBorder="1" applyAlignment="1">
      <alignment horizontal="center" vertical="justify"/>
    </xf>
    <xf numFmtId="0" fontId="0" fillId="34" borderId="0" xfId="0" applyFont="1" applyFill="1" applyAlignment="1">
      <alignment/>
    </xf>
    <xf numFmtId="0" fontId="1" fillId="34" borderId="10" xfId="0" applyFont="1" applyFill="1" applyBorder="1" applyAlignment="1">
      <alignment horizontal="left"/>
    </xf>
    <xf numFmtId="179" fontId="0" fillId="34" borderId="0" xfId="42" applyFont="1" applyFill="1" applyAlignment="1">
      <alignment/>
    </xf>
    <xf numFmtId="10" fontId="56" fillId="34" borderId="11" xfId="42" applyNumberFormat="1" applyFont="1" applyFill="1" applyBorder="1" applyAlignment="1" applyProtection="1">
      <alignment vertical="center" wrapText="1"/>
      <protection/>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9" fontId="57" fillId="0" borderId="11" xfId="60"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41" fontId="58"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left" vertical="center" wrapText="1"/>
      <protection/>
    </xf>
    <xf numFmtId="9" fontId="58" fillId="0" borderId="11" xfId="60" applyFont="1" applyFill="1" applyBorder="1" applyAlignment="1" applyProtection="1">
      <alignment horizontal="right" vertical="center" wrapText="1"/>
      <protection locked="0"/>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0" fontId="7" fillId="33" borderId="10" xfId="0" applyFont="1" applyFill="1" applyBorder="1" applyAlignment="1">
      <alignment horizontal="center" vertical="justify"/>
    </xf>
    <xf numFmtId="0" fontId="7" fillId="33" borderId="10" xfId="0" applyFont="1" applyFill="1" applyBorder="1" applyAlignment="1">
      <alignment horizontal="center" vertical="justify" wrapText="1"/>
    </xf>
    <xf numFmtId="0" fontId="8" fillId="0" borderId="0" xfId="0" applyFont="1" applyAlignment="1">
      <alignment/>
    </xf>
    <xf numFmtId="0" fontId="59" fillId="0" borderId="11" xfId="0" applyNumberFormat="1" applyFont="1" applyFill="1" applyBorder="1" applyAlignment="1" applyProtection="1">
      <alignment horizontal="left" vertical="center" wrapText="1"/>
      <protection/>
    </xf>
    <xf numFmtId="181" fontId="59" fillId="0" borderId="11" xfId="42" applyNumberFormat="1" applyFont="1" applyFill="1" applyBorder="1" applyAlignment="1" applyProtection="1">
      <alignment horizontal="right"/>
      <protection/>
    </xf>
    <xf numFmtId="0" fontId="60" fillId="0" borderId="11" xfId="0" applyNumberFormat="1" applyFont="1" applyFill="1" applyBorder="1" applyAlignment="1" applyProtection="1">
      <alignment horizontal="left" vertical="center" wrapText="1"/>
      <protection/>
    </xf>
    <xf numFmtId="181" fontId="60" fillId="0" borderId="11" xfId="42" applyNumberFormat="1" applyFont="1" applyFill="1" applyBorder="1" applyAlignment="1" applyProtection="1">
      <alignment horizontal="right"/>
      <protection/>
    </xf>
    <xf numFmtId="10" fontId="60" fillId="0" borderId="11" xfId="60" applyNumberFormat="1" applyFont="1" applyFill="1" applyBorder="1" applyAlignment="1" applyProtection="1">
      <alignment horizontal="right"/>
      <protection locked="0"/>
    </xf>
    <xf numFmtId="181" fontId="60" fillId="0" borderId="11" xfId="42" applyNumberFormat="1" applyFont="1" applyFill="1" applyBorder="1" applyAlignment="1" applyProtection="1">
      <alignment horizontal="right"/>
      <protection locked="0"/>
    </xf>
    <xf numFmtId="0" fontId="8" fillId="0" borderId="0" xfId="0" applyFont="1" applyAlignment="1">
      <alignment wrapText="1"/>
    </xf>
    <xf numFmtId="0" fontId="1" fillId="0" borderId="11" xfId="0" applyFont="1" applyFill="1" applyBorder="1" applyAlignment="1">
      <alignment horizontal="center"/>
    </xf>
    <xf numFmtId="49" fontId="1" fillId="0" borderId="11" xfId="0" applyNumberFormat="1" applyFont="1" applyFill="1" applyBorder="1" applyAlignment="1" applyProtection="1">
      <alignment horizontal="left" vertical="center" wrapText="1"/>
      <protection/>
    </xf>
    <xf numFmtId="49" fontId="1" fillId="34" borderId="11" xfId="0" applyNumberFormat="1" applyFont="1" applyFill="1" applyBorder="1" applyAlignment="1" applyProtection="1">
      <alignment horizontal="left" vertical="center" wrapText="1"/>
      <protection/>
    </xf>
    <xf numFmtId="11" fontId="1" fillId="34" borderId="11" xfId="0" applyNumberFormat="1" applyFont="1" applyFill="1" applyBorder="1" applyAlignment="1" applyProtection="1">
      <alignment horizontal="left" vertical="center" wrapText="1"/>
      <protection/>
    </xf>
    <xf numFmtId="11" fontId="1" fillId="0" borderId="11" xfId="0" applyNumberFormat="1" applyFont="1" applyFill="1" applyBorder="1" applyAlignment="1" applyProtection="1">
      <alignment horizontal="left" vertical="center" wrapText="1"/>
      <protection/>
    </xf>
    <xf numFmtId="181" fontId="56" fillId="34" borderId="11" xfId="42" applyNumberFormat="1" applyFont="1" applyFill="1" applyBorder="1" applyAlignment="1" applyProtection="1">
      <alignment vertical="center" wrapText="1"/>
      <protection locked="0"/>
    </xf>
    <xf numFmtId="0" fontId="58"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180" fontId="59" fillId="0" borderId="11" xfId="0" applyNumberFormat="1" applyFont="1" applyFill="1" applyBorder="1" applyAlignment="1" applyProtection="1">
      <alignment horizontal="right" vertical="center" wrapText="1"/>
      <protection/>
    </xf>
    <xf numFmtId="41" fontId="59" fillId="0" borderId="11" xfId="57"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59" fillId="0" borderId="11" xfId="56" applyNumberFormat="1" applyFont="1" applyFill="1" applyBorder="1" applyAlignment="1" applyProtection="1">
      <alignment horizontal="left" vertical="center" wrapText="1"/>
      <protection/>
    </xf>
    <xf numFmtId="176" fontId="59" fillId="0" borderId="11" xfId="0" applyNumberFormat="1" applyFont="1" applyFill="1" applyBorder="1" applyAlignment="1" applyProtection="1">
      <alignment horizontal="right" vertical="center" wrapText="1"/>
      <protection/>
    </xf>
    <xf numFmtId="176" fontId="60" fillId="0" borderId="11" xfId="0" applyNumberFormat="1" applyFont="1" applyFill="1" applyBorder="1" applyAlignment="1" applyProtection="1">
      <alignment horizontal="right" vertical="center" wrapText="1"/>
      <protection/>
    </xf>
    <xf numFmtId="181" fontId="59" fillId="0" borderId="11" xfId="0" applyNumberFormat="1" applyFont="1" applyFill="1" applyBorder="1" applyAlignment="1" applyProtection="1">
      <alignment horizontal="right" vertical="center" wrapText="1"/>
      <protection/>
    </xf>
    <xf numFmtId="179" fontId="59" fillId="0" borderId="11" xfId="0" applyNumberFormat="1" applyFont="1" applyFill="1" applyBorder="1" applyAlignment="1" applyProtection="1">
      <alignment horizontal="right" vertical="center" wrapText="1"/>
      <protection/>
    </xf>
    <xf numFmtId="181" fontId="59" fillId="0" borderId="11" xfId="57" applyNumberFormat="1" applyFont="1" applyFill="1" applyBorder="1" applyAlignment="1">
      <alignment horizontal="right" vertical="center"/>
      <protection/>
    </xf>
    <xf numFmtId="41" fontId="60" fillId="0" borderId="11" xfId="57" applyNumberFormat="1" applyFont="1" applyFill="1" applyBorder="1" applyAlignment="1">
      <alignment horizontal="right" vertical="center"/>
      <protection/>
    </xf>
    <xf numFmtId="10" fontId="59" fillId="0" borderId="11" xfId="0" applyNumberFormat="1" applyFont="1" applyFill="1" applyBorder="1" applyAlignment="1" applyProtection="1">
      <alignment horizontal="right" vertical="center" wrapText="1"/>
      <protection/>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0" xfId="0" applyFont="1" applyAlignment="1">
      <alignment horizontal="right"/>
    </xf>
    <xf numFmtId="0" fontId="2" fillId="0" borderId="10" xfId="0" applyFont="1" applyBorder="1" applyAlignment="1">
      <alignment horizontal="center" vertical="justify"/>
    </xf>
    <xf numFmtId="0" fontId="1" fillId="0" borderId="10" xfId="0" applyFont="1" applyBorder="1" applyAlignment="1">
      <alignment horizontal="center"/>
    </xf>
    <xf numFmtId="0" fontId="10" fillId="0" borderId="0" xfId="0" applyFont="1" applyAlignment="1">
      <alignment horizontal="left"/>
    </xf>
    <xf numFmtId="0" fontId="3" fillId="0" borderId="0" xfId="0" applyFont="1" applyAlignment="1">
      <alignment horizontal="center" vertical="justify"/>
    </xf>
    <xf numFmtId="0" fontId="9" fillId="0" borderId="0" xfId="0" applyFont="1" applyAlignment="1">
      <alignment horizontal="center" vertical="justify"/>
    </xf>
    <xf numFmtId="0" fontId="1" fillId="0" borderId="0" xfId="0" applyFont="1" applyAlignment="1">
      <alignment horizontal="left"/>
    </xf>
    <xf numFmtId="0" fontId="56" fillId="0" borderId="0" xfId="0" applyFont="1" applyAlignment="1">
      <alignment horizontal="left"/>
    </xf>
    <xf numFmtId="0" fontId="2" fillId="0" borderId="0" xfId="0" applyFont="1" applyAlignment="1">
      <alignment horizontal="center" vertical="justify"/>
    </xf>
    <xf numFmtId="0" fontId="2" fillId="33" borderId="10" xfId="0" applyFont="1" applyFill="1" applyBorder="1" applyAlignment="1">
      <alignment horizontal="center" vertical="justify"/>
    </xf>
    <xf numFmtId="0" fontId="1" fillId="0" borderId="11" xfId="0" applyFont="1" applyFill="1" applyBorder="1" applyAlignment="1">
      <alignment horizontal="center" vertical="center"/>
    </xf>
    <xf numFmtId="0" fontId="2" fillId="33" borderId="10" xfId="0" applyFont="1" applyFill="1" applyBorder="1" applyAlignment="1">
      <alignment horizontal="center" vertical="justify"/>
    </xf>
    <xf numFmtId="49" fontId="62" fillId="0" borderId="11" xfId="0" applyNumberFormat="1" applyFont="1" applyFill="1" applyBorder="1" applyAlignment="1" applyProtection="1">
      <alignment horizontal="center" vertical="center" wrapText="1"/>
      <protection/>
    </xf>
    <xf numFmtId="49" fontId="62" fillId="0" borderId="11" xfId="0" applyNumberFormat="1" applyFont="1" applyFill="1" applyBorder="1" applyAlignment="1" applyProtection="1">
      <alignment horizontal="left" vertical="center" wrapText="1"/>
      <protection/>
    </xf>
    <xf numFmtId="10" fontId="62" fillId="0" borderId="11" xfId="60" applyNumberFormat="1" applyFont="1" applyFill="1" applyBorder="1" applyAlignment="1" applyProtection="1">
      <alignment horizontal="center" vertical="center" wrapText="1"/>
      <protection/>
    </xf>
    <xf numFmtId="0" fontId="62" fillId="0" borderId="11" xfId="0" applyNumberFormat="1" applyFont="1" applyFill="1" applyBorder="1" applyAlignment="1" applyProtection="1">
      <alignment horizontal="left" vertical="center" wrapText="1"/>
      <protection/>
    </xf>
    <xf numFmtId="181" fontId="62" fillId="0" borderId="11" xfId="42" applyNumberFormat="1" applyFont="1" applyFill="1" applyBorder="1" applyAlignment="1" applyProtection="1">
      <alignment horizontal="right"/>
      <protection/>
    </xf>
    <xf numFmtId="10" fontId="62" fillId="0" borderId="11" xfId="60" applyNumberFormat="1" applyFont="1" applyFill="1" applyBorder="1" applyAlignment="1" applyProtection="1">
      <alignment horizontal="right"/>
      <protection locked="0"/>
    </xf>
    <xf numFmtId="0" fontId="63" fillId="0" borderId="11" xfId="0" applyNumberFormat="1" applyFont="1" applyFill="1" applyBorder="1" applyAlignment="1" applyProtection="1">
      <alignment horizontal="left" vertical="center" wrapText="1"/>
      <protection/>
    </xf>
    <xf numFmtId="181" fontId="63" fillId="0" borderId="11" xfId="42" applyNumberFormat="1" applyFont="1" applyFill="1" applyBorder="1" applyAlignment="1" applyProtection="1">
      <alignment horizontal="right"/>
      <protection/>
    </xf>
    <xf numFmtId="181" fontId="64" fillId="0" borderId="11" xfId="44" applyNumberFormat="1" applyFont="1" applyFill="1" applyBorder="1" applyAlignment="1">
      <alignment horizontal="right" vertical="center"/>
    </xf>
    <xf numFmtId="0" fontId="63" fillId="0" borderId="11" xfId="0" applyNumberFormat="1" applyFont="1" applyFill="1" applyBorder="1" applyAlignment="1" applyProtection="1">
      <alignment horizontal="left" vertical="center" wrapText="1" indent="1"/>
      <protection/>
    </xf>
    <xf numFmtId="179" fontId="64" fillId="0" borderId="11" xfId="42" applyFont="1" applyFill="1" applyBorder="1" applyAlignment="1" applyProtection="1">
      <alignment horizontal="right" vertical="center"/>
      <protection locked="0"/>
    </xf>
    <xf numFmtId="181" fontId="63" fillId="0" borderId="11" xfId="42" applyNumberFormat="1" applyFont="1" applyFill="1" applyBorder="1" applyAlignment="1" applyProtection="1">
      <alignment horizontal="right"/>
      <protection locked="0"/>
    </xf>
    <xf numFmtId="181" fontId="62" fillId="0" borderId="11" xfId="42" applyNumberFormat="1" applyFont="1" applyFill="1" applyBorder="1" applyAlignment="1" applyProtection="1">
      <alignment horizontal="right"/>
      <protection locked="0"/>
    </xf>
    <xf numFmtId="0" fontId="1" fillId="0" borderId="10"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82" t="s">
        <v>0</v>
      </c>
      <c r="B1" s="82"/>
      <c r="C1" s="82"/>
      <c r="D1" s="82"/>
    </row>
    <row r="2" spans="1:4" ht="9" customHeight="1">
      <c r="A2" s="82"/>
      <c r="B2" s="82"/>
      <c r="C2" s="82"/>
      <c r="D2" s="82"/>
    </row>
    <row r="3" spans="1:4" ht="15" customHeight="1">
      <c r="A3" s="76" t="s">
        <v>1</v>
      </c>
      <c r="B3" s="76" t="s">
        <v>1</v>
      </c>
      <c r="C3" s="77" t="s">
        <v>2</v>
      </c>
      <c r="D3" s="76" t="s">
        <v>387</v>
      </c>
    </row>
    <row r="4" spans="1:4" ht="15" customHeight="1">
      <c r="A4" s="76" t="s">
        <v>1</v>
      </c>
      <c r="B4" s="76" t="s">
        <v>1</v>
      </c>
      <c r="C4" s="77" t="s">
        <v>3</v>
      </c>
      <c r="D4" s="76">
        <v>3</v>
      </c>
    </row>
    <row r="5" spans="1:4" ht="15" customHeight="1">
      <c r="A5" s="76" t="s">
        <v>1</v>
      </c>
      <c r="B5" s="76" t="s">
        <v>1</v>
      </c>
      <c r="C5" s="77" t="s">
        <v>4</v>
      </c>
      <c r="D5" s="76">
        <v>2021</v>
      </c>
    </row>
    <row r="6" spans="1:4" ht="15" customHeight="1">
      <c r="A6" s="76" t="s">
        <v>1</v>
      </c>
      <c r="B6" s="76" t="s">
        <v>1</v>
      </c>
      <c r="C6" s="76" t="s">
        <v>1</v>
      </c>
      <c r="D6" s="76" t="s">
        <v>1</v>
      </c>
    </row>
    <row r="7" spans="1:4" ht="15" customHeight="1">
      <c r="A7" s="4" t="s">
        <v>228</v>
      </c>
      <c r="B7" s="4"/>
      <c r="C7" s="76"/>
      <c r="D7" s="76" t="s">
        <v>1</v>
      </c>
    </row>
    <row r="8" spans="1:4" ht="15" customHeight="1">
      <c r="A8" s="4" t="s">
        <v>227</v>
      </c>
      <c r="B8" s="4"/>
      <c r="C8" s="76"/>
      <c r="D8" s="76" t="s">
        <v>1</v>
      </c>
    </row>
    <row r="9" spans="1:4" ht="15" customHeight="1">
      <c r="A9" s="83" t="s">
        <v>229</v>
      </c>
      <c r="B9" s="83"/>
      <c r="C9" s="76"/>
      <c r="D9" s="76" t="s">
        <v>1</v>
      </c>
    </row>
    <row r="10" spans="1:4" ht="15" customHeight="1">
      <c r="A10" s="84" t="s">
        <v>388</v>
      </c>
      <c r="B10" s="84"/>
      <c r="C10" s="76"/>
      <c r="D10" s="76" t="s">
        <v>1</v>
      </c>
    </row>
    <row r="11" spans="1:4" ht="15" customHeight="1">
      <c r="A11" s="76" t="s">
        <v>1</v>
      </c>
      <c r="B11" s="76" t="s">
        <v>1</v>
      </c>
      <c r="C11" s="76" t="s">
        <v>1</v>
      </c>
      <c r="D11" s="76" t="s">
        <v>1</v>
      </c>
    </row>
    <row r="12" spans="1:4" ht="15" customHeight="1">
      <c r="A12" s="76" t="s">
        <v>1</v>
      </c>
      <c r="B12" s="76" t="s">
        <v>1</v>
      </c>
      <c r="C12" s="76" t="s">
        <v>1</v>
      </c>
      <c r="D12" s="76" t="s">
        <v>5</v>
      </c>
    </row>
    <row r="13" spans="1:4" ht="15" customHeight="1">
      <c r="A13" s="76" t="s">
        <v>1</v>
      </c>
      <c r="B13" s="78" t="s">
        <v>6</v>
      </c>
      <c r="C13" s="78" t="s">
        <v>7</v>
      </c>
      <c r="D13" s="78" t="s">
        <v>8</v>
      </c>
    </row>
    <row r="14" spans="1:4" ht="15" customHeight="1">
      <c r="A14" s="76" t="s">
        <v>1</v>
      </c>
      <c r="B14" s="79" t="s">
        <v>9</v>
      </c>
      <c r="C14" s="75" t="s">
        <v>10</v>
      </c>
      <c r="D14" s="75" t="s">
        <v>11</v>
      </c>
    </row>
    <row r="15" spans="1:4" ht="15" customHeight="1">
      <c r="A15" s="76" t="s">
        <v>1</v>
      </c>
      <c r="B15" s="79" t="s">
        <v>12</v>
      </c>
      <c r="C15" s="75" t="s">
        <v>13</v>
      </c>
      <c r="D15" s="75" t="s">
        <v>14</v>
      </c>
    </row>
    <row r="16" spans="1:4" ht="15" customHeight="1">
      <c r="A16" s="76" t="s">
        <v>1</v>
      </c>
      <c r="B16" s="79" t="s">
        <v>15</v>
      </c>
      <c r="C16" s="75" t="s">
        <v>16</v>
      </c>
      <c r="D16" s="75" t="s">
        <v>17</v>
      </c>
    </row>
    <row r="17" spans="1:4" ht="15" customHeight="1">
      <c r="A17" s="76" t="s">
        <v>1</v>
      </c>
      <c r="B17" s="79" t="s">
        <v>18</v>
      </c>
      <c r="C17" s="75" t="s">
        <v>19</v>
      </c>
      <c r="D17" s="75" t="s">
        <v>20</v>
      </c>
    </row>
    <row r="18" spans="1:4" ht="15" customHeight="1">
      <c r="A18" s="76" t="s">
        <v>1</v>
      </c>
      <c r="B18" s="79" t="s">
        <v>21</v>
      </c>
      <c r="C18" s="75" t="s">
        <v>22</v>
      </c>
      <c r="D18" s="75" t="s">
        <v>23</v>
      </c>
    </row>
    <row r="19" spans="1:4" ht="15" customHeight="1">
      <c r="A19" s="76"/>
      <c r="B19" s="79" t="s">
        <v>24</v>
      </c>
      <c r="C19" s="75" t="s">
        <v>25</v>
      </c>
      <c r="D19" s="75" t="s">
        <v>26</v>
      </c>
    </row>
    <row r="20" spans="1:4" ht="15" customHeight="1">
      <c r="A20" s="76"/>
      <c r="B20" s="79" t="s">
        <v>27</v>
      </c>
      <c r="C20" s="75" t="s">
        <v>28</v>
      </c>
      <c r="D20" s="75" t="s">
        <v>29</v>
      </c>
    </row>
    <row r="21" spans="1:4" ht="15" customHeight="1">
      <c r="A21" s="76"/>
      <c r="B21" s="79" t="s">
        <v>30</v>
      </c>
      <c r="C21" s="75" t="s">
        <v>31</v>
      </c>
      <c r="D21" s="75" t="s">
        <v>32</v>
      </c>
    </row>
    <row r="22" spans="1:4" ht="15" customHeight="1">
      <c r="A22" s="76"/>
      <c r="B22" s="79" t="s">
        <v>33</v>
      </c>
      <c r="C22" s="75" t="s">
        <v>34</v>
      </c>
      <c r="D22" s="75" t="s">
        <v>35</v>
      </c>
    </row>
    <row r="23" spans="1:4" ht="15" customHeight="1">
      <c r="A23" s="76"/>
      <c r="B23" s="79" t="s">
        <v>36</v>
      </c>
      <c r="C23" s="75" t="s">
        <v>37</v>
      </c>
      <c r="D23" s="75" t="s">
        <v>38</v>
      </c>
    </row>
    <row r="24" spans="1:4" ht="15" customHeight="1">
      <c r="A24" s="76"/>
      <c r="B24" s="79" t="s">
        <v>39</v>
      </c>
      <c r="C24" s="75" t="s">
        <v>40</v>
      </c>
      <c r="D24" s="75" t="s">
        <v>41</v>
      </c>
    </row>
    <row r="25" spans="1:4" ht="15" customHeight="1">
      <c r="A25" s="76"/>
      <c r="B25" s="79" t="s">
        <v>42</v>
      </c>
      <c r="C25" s="75" t="s">
        <v>43</v>
      </c>
      <c r="D25" s="75" t="s">
        <v>44</v>
      </c>
    </row>
    <row r="26" spans="1:4" ht="15" customHeight="1">
      <c r="A26" s="76"/>
      <c r="B26" s="79" t="s">
        <v>45</v>
      </c>
      <c r="C26" s="75" t="s">
        <v>46</v>
      </c>
      <c r="D26" s="75" t="s">
        <v>47</v>
      </c>
    </row>
    <row r="27" spans="1:4" ht="15" customHeight="1">
      <c r="A27" s="76" t="s">
        <v>1</v>
      </c>
      <c r="B27" s="80" t="s">
        <v>48</v>
      </c>
      <c r="C27" s="76" t="s">
        <v>49</v>
      </c>
      <c r="D27" s="76" t="s">
        <v>1</v>
      </c>
    </row>
    <row r="28" spans="1:4" ht="15" customHeight="1">
      <c r="A28" s="76" t="s">
        <v>1</v>
      </c>
      <c r="B28" s="76" t="s">
        <v>1</v>
      </c>
      <c r="C28" s="76" t="s">
        <v>50</v>
      </c>
      <c r="D28" s="76"/>
    </row>
    <row r="29" spans="1:4" ht="15" customHeight="1">
      <c r="A29" s="76" t="s">
        <v>1</v>
      </c>
      <c r="B29" s="76" t="s">
        <v>1</v>
      </c>
      <c r="C29" s="76" t="s">
        <v>51</v>
      </c>
      <c r="D29" s="76" t="s">
        <v>1</v>
      </c>
    </row>
    <row r="30" spans="1:4" ht="15" customHeight="1">
      <c r="A30" s="76" t="s">
        <v>1</v>
      </c>
      <c r="B30" s="76" t="s">
        <v>1</v>
      </c>
      <c r="C30" s="76" t="s">
        <v>1</v>
      </c>
      <c r="D30" s="76" t="s">
        <v>1</v>
      </c>
    </row>
    <row r="31" spans="1:4" ht="15" customHeight="1">
      <c r="A31" s="76" t="s">
        <v>1</v>
      </c>
      <c r="B31" s="76" t="s">
        <v>1</v>
      </c>
      <c r="C31" s="76" t="s">
        <v>1</v>
      </c>
      <c r="D31" s="76" t="s">
        <v>1</v>
      </c>
    </row>
    <row r="32" spans="1:4" ht="15" customHeight="1">
      <c r="A32" s="76" t="s">
        <v>1</v>
      </c>
      <c r="B32" s="76" t="s">
        <v>1</v>
      </c>
      <c r="C32" s="76" t="s">
        <v>1</v>
      </c>
      <c r="D32" s="76" t="s">
        <v>1</v>
      </c>
    </row>
    <row r="33" spans="1:4" ht="15" customHeight="1">
      <c r="A33" s="85" t="s">
        <v>52</v>
      </c>
      <c r="B33" s="85"/>
      <c r="C33" s="85" t="s">
        <v>53</v>
      </c>
      <c r="D33" s="85"/>
    </row>
    <row r="34" spans="1:4" ht="15" customHeight="1">
      <c r="A34" s="81" t="s">
        <v>54</v>
      </c>
      <c r="B34" s="81"/>
      <c r="C34" s="81" t="s">
        <v>54</v>
      </c>
      <c r="D34" s="81"/>
    </row>
    <row r="35" spans="1:4" ht="15" customHeight="1">
      <c r="A35" s="76" t="s">
        <v>1</v>
      </c>
      <c r="B35" s="76" t="s">
        <v>1</v>
      </c>
      <c r="C35" s="76" t="s">
        <v>1</v>
      </c>
      <c r="D35" s="76" t="s">
        <v>1</v>
      </c>
    </row>
  </sheetData>
  <sheetProtection/>
  <mergeCells count="7">
    <mergeCell ref="A34:B34"/>
    <mergeCell ref="C34:D34"/>
    <mergeCell ref="A1:D2"/>
    <mergeCell ref="A9:B9"/>
    <mergeCell ref="A10:B10"/>
    <mergeCell ref="A33:B33"/>
    <mergeCell ref="C33:D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{'SheetId':'5aedcdd2-7524-4a4f-b329-736d1613d1ae','UId':'9cbd5645-d1cc-4c66-9f84-d2f549c40baa','Col':4,'Row':3,'Format':'numberic','Value':'38499958270','TargetCode':''}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{'SheetId':'5aedcdd2-7524-4a4f-b329-736d1613d1ae','UId':'99e568e1-5c2c-4711-855d-7b59f3d1cab6','Col':5,'Row':3,'Format':'numberic','Value':'51092006642','TargetCode':''}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{'SheetId':'5aedcdd2-7524-4a4f-b329-736d1613d1ae','UId':'c69da7a3-02da-4c71-9ebc-1684c54f1afc','Col':6,'Row':3,'Format':'numberic','Value':'69.3746677794472','TargetCode':''}</v>
      </c>
    </row>
    <row r="7" ht="12.75">
      <c r="A7" t="str">
        <f>CONCATENATE("{'SheetId':'5aedcdd2-7524-4a4f-b329-736d1613d1ae'",",","'UId':'8adc06ea-6b87-4c42-b656-c6dbc003e2fd'",",'Col':",COLUMN(BCTaiSan_06027!D4),",'Row':",ROW(BCTaiSan_06027!D4),",","'Format':'numberic'",",'Value':'",SUBSTITUTE(BCTaiSan_06027!D4,"'","\'"),"','TargetCode':''}")</f>
        <v>{'SheetId':'5aedcdd2-7524-4a4f-b329-736d1613d1ae','UId':'8adc06ea-6b87-4c42-b656-c6dbc003e2fd','Col':4,'Row':4,'Format':'numberic','Value':'36000000000','TargetCode':''}</v>
      </c>
    </row>
    <row r="8" ht="12.75">
      <c r="A8" t="str">
        <f>CONCATENATE("{'SheetId':'5aedcdd2-7524-4a4f-b329-736d1613d1ae'",",","'UId':'6d8a8286-837d-4b56-8e74-bffdec60ea94'",",'Col':",COLUMN(BCTaiSan_06027!E4),",'Row':",ROW(BCTaiSan_06027!E4),",","'Format':'numberic'",",'Value':'",SUBSTITUTE(BCTaiSan_06027!E4,"'","\'"),"','TargetCode':''}")</f>
        <v>{'SheetId':'5aedcdd2-7524-4a4f-b329-736d1613d1ae','UId':'6d8a8286-837d-4b56-8e74-bffdec60ea94','Col':5,'Row':4,'Format':'numberic','Value':'41000000000','TargetCode':''}</v>
      </c>
    </row>
    <row r="9" ht="12.75">
      <c r="A9" t="str">
        <f>CONCATENATE("{'SheetId':'5aedcdd2-7524-4a4f-b329-736d1613d1ae'",",","'UId':'ffa81c56-9ecf-4052-9678-78afb3d3ebc8'",",'Col':",COLUMN(BCTaiSan_06027!F4),",'Row':",ROW(BCTaiSan_06027!F4),",","'Format':'numberic'",",'Value':'",SUBSTITUTE(BCTaiSan_06027!F4,"'","\'"),"','TargetCode':''}")</f>
        <v>{'SheetId':'5aedcdd2-7524-4a4f-b329-736d1613d1ae','UId':'ffa81c56-9ecf-4052-9678-78afb3d3ebc8','Col':6,'Row':4,'Format':'numberic','Value':'','TargetCode':''}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{'SheetId':'5aedcdd2-7524-4a4f-b329-736d1613d1ae','UId':'c59bc369-ef6c-4ae7-8932-3d3cd7b0f999','Col':4,'Row':8,'ColDynamic':4,'RowDynamic':12,'Format':'numberic','Value':'82062508099','TargetCode':''}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{'SheetId':'5aedcdd2-7524-4a4f-b329-736d1613d1ae','UId':'71da1168-8366-41b4-a97a-ac130f3a71ab','Col':5,'Row':8,'ColDynamic':5,'RowDynamic':12,'Format':'numberic','Value':'72663387139','TargetCode':''}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{'SheetId':'5aedcdd2-7524-4a4f-b329-736d1613d1ae','UId':'3c022ada-eb27-4aed-bf94-d517130be29a','Col':6,'Row':8,'ColDynamic':6,'RowDynamic':12,'Format':'numberic','Value':'1.5052128043394','TargetCode':''}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15),",'Row':",ROW(BCTaiSan_06027!A15),",","'ColDynamic':",COLUMN(BCTaiSan_06027!#REF!),",","'RowDynamic':",ROW(BCTaiSan_06027!#REF!),",","'Format':'string'",",'Value':'",SUBSTITUTE(BCTaiSan_06027!A15,"'","\'"),"','TargetCode':''}")</f>
        <v>#REF!</v>
      </c>
    </row>
    <row r="32" ht="12.75">
      <c r="A32" t="e">
        <f>CONCATENATE("{'SheetId':'5aedcdd2-7524-4a4f-b329-736d1613d1ae'",",","'UId':'55c7b2c2-f5f8-4a72-8e4a-040eb2c74cf1'",",'Col':",COLUMN(BCTaiSan_06027!B15),",'Row':",ROW(BCTaiSan_06027!B15),",","'ColDynamic':",COLUMN(BCTaiSan_06027!#REF!),",","'RowDynamic':",ROW(BCTaiSan_06027!#REF!),",","'Format':'string'",",'Value':'",SUBSTITUTE(BCTaiSan_06027!B15,"'","\'"),"','TargetCode':''}")</f>
        <v>#REF!</v>
      </c>
    </row>
    <row r="33" ht="12.75">
      <c r="A33" t="e">
        <f>CONCATENATE("{'SheetId':'5aedcdd2-7524-4a4f-b329-736d1613d1ae'",",","'UId':'353bc353-1898-4fe5-b702-b1e9dbee7e4d'",",'Col':",COLUMN(BCTaiSan_06027!C15),",'Row':",ROW(BCTaiSan_06027!C15),",","'ColDynamic':",COLUMN(BCTaiSan_06027!#REF!),",","'RowDynamic':",ROW(BCTaiSan_06027!#REF!),",","'Format':'string'",",'Value':'",SUBSTITUTE(BCTaiSan_06027!C15,"'","\'"),"','TargetCode':''}")</f>
        <v>#REF!</v>
      </c>
    </row>
    <row r="34" ht="12.75">
      <c r="A34" t="e">
        <f>CONCATENATE("{'SheetId':'5aedcdd2-7524-4a4f-b329-736d1613d1ae'",",","'UId':'aaa47aee-de9e-4a72-aaac-e89970beaace'",",'Col':",COLUMN(BCTaiSan_06027!D15),",'Row':",ROW(BCTaiSan_06027!D15),",","'ColDynamic':",COLUMN(BCTaiSan_06027!#REF!),",","'RowDynamic':",ROW(BCTaiSan_06027!#REF!),",","'Format':'numberic'",",'Value':'",SUBSTITUTE(BCTaiSan_06027!D15,"'","\'"),"','TargetCode':''}")</f>
        <v>#REF!</v>
      </c>
    </row>
    <row r="35" ht="12.75">
      <c r="A35" t="e">
        <f>CONCATENATE("{'SheetId':'5aedcdd2-7524-4a4f-b329-736d1613d1ae'",",","'UId':'c31cdabe-83ce-456c-8300-7b06d46f81cc'",",'Col':",COLUMN(BCTaiSan_06027!E15),",'Row':",ROW(BCTaiSan_06027!E15),",","'ColDynamic':",COLUMN(BCTaiSan_06027!#REF!),",","'RowDynamic':",ROW(BCTaiSan_06027!#REF!),",","'Format':'numberic'",",'Value':'",SUBSTITUTE(BCTaiSan_06027!E15,"'","\'"),"','TargetCode':''}")</f>
        <v>#REF!</v>
      </c>
    </row>
    <row r="36" ht="12.75">
      <c r="A36" t="e">
        <f>CONCATENATE("{'SheetId':'5aedcdd2-7524-4a4f-b329-736d1613d1ae'",",","'UId':'df064eb2-539c-42cd-9667-ecd8effb04f7'",",'Col':",COLUMN(BCTaiSan_06027!F15),",'Row':",ROW(BCTaiSan_06027!F15),",","'ColDynamic':",COLUMN(BCTaiSan_06027!#REF!),",","'RowDynamic':",ROW(BCTaiSan_06027!#REF!),",","'Format':'numberic'",",'Value':'",SUBSTITUTE(BCTaiSan_06027!F15,"'","\'"),"','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17),",'Row':",ROW(BCTaiSan_06027!D17),",","'Format':'numberic'",",'Value':'",SUBSTITUTE(BCTaiSan_06027!D17,"'","\'"),"','TargetCode':''}")</f>
        <v>{'SheetId':'5aedcdd2-7524-4a4f-b329-736d1613d1ae','UId':'4db3253d-9c46-4d6e-918f-a429377ea210','Col':4,'Row':17,'Format':'numberic','Value':'2396706846','TargetCode':''}</v>
      </c>
    </row>
    <row r="44" ht="12.75">
      <c r="A44" t="str">
        <f>CONCATENATE("{'SheetId':'5aedcdd2-7524-4a4f-b329-736d1613d1ae'",",","'UId':'1b5619ce-07bd-4f38-b89d-ff10d4440cfc'",",'Col':",COLUMN(BCTaiSan_06027!E17),",'Row':",ROW(BCTaiSan_06027!E17),",","'Format':'numberic'",",'Value':'",SUBSTITUTE(BCTaiSan_06027!E17,"'","\'"),"','TargetCode':''}")</f>
        <v>{'SheetId':'5aedcdd2-7524-4a4f-b329-736d1613d1ae','UId':'1b5619ce-07bd-4f38-b89d-ff10d4440cfc','Col':5,'Row':17,'Format':'numberic','Value':'1293352330','TargetCode':''}</v>
      </c>
    </row>
    <row r="45" ht="12.75">
      <c r="A45" t="str">
        <f>CONCATENATE("{'SheetId':'5aedcdd2-7524-4a4f-b329-736d1613d1ae'",",","'UId':'e662b89a-1c2d-4d21-94c4-5d786440cb11'",",'Col':",COLUMN(BCTaiSan_06027!F17),",'Row':",ROW(BCTaiSan_06027!F17),",","'Format':'numberic'",",'Value':'",SUBSTITUTE(BCTaiSan_06027!F17,"'","\'"),"','TargetCode':''}")</f>
        <v>{'SheetId':'5aedcdd2-7524-4a4f-b329-736d1613d1ae','UId':'e662b89a-1c2d-4d21-94c4-5d786440cb11','Col':6,'Row':17,'Format':'numberic','Value':'1.6681724949328','TargetCode':''}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19),",'Row':",ROW(BCTaiSan_06027!D19),",","'Format':'numberic'",",'Value':'",SUBSTITUTE(BCTaiSan_06027!D19,"'","\'"),"','TargetCode':''}")</f>
        <v>{'SheetId':'5aedcdd2-7524-4a4f-b329-736d1613d1ae','UId':'2955d8e1-bb85-470d-810e-e670e4ee9763','Col':4,'Row':19,'Format':'numberic','Value':'','TargetCode':''}</v>
      </c>
    </row>
    <row r="53" ht="12.75">
      <c r="A53" t="str">
        <f>CONCATENATE("{'SheetId':'5aedcdd2-7524-4a4f-b329-736d1613d1ae'",",","'UId':'54c4f244-7feb-4326-af72-7b2f8cf16a37'",",'Col':",COLUMN(BCTaiSan_06027!E19),",'Row':",ROW(BCTaiSan_06027!E19),",","'Format':'numberic'",",'Value':'",SUBSTITUTE(BCTaiSan_06027!E19,"'","\'"),"','TargetCode':''}")</f>
        <v>{'SheetId':'5aedcdd2-7524-4a4f-b329-736d1613d1ae','UId':'54c4f244-7feb-4326-af72-7b2f8cf16a37','Col':5,'Row':19,'Format':'numberic','Value':'','TargetCode':''}</v>
      </c>
    </row>
    <row r="54" ht="12.75">
      <c r="A54" t="str">
        <f>CONCATENATE("{'SheetId':'5aedcdd2-7524-4a4f-b329-736d1613d1ae'",",","'UId':'9670a190-b315-4332-be4b-7bd49a951b82'",",'Col':",COLUMN(BCTaiSan_06027!F19),",'Row':",ROW(BCTaiSan_06027!F19),",","'Format':'numberic'",",'Value':'",SUBSTITUTE(BCTaiSan_06027!F19,"'","\'"),"','TargetCode':''}")</f>
        <v>{'SheetId':'5aedcdd2-7524-4a4f-b329-736d1613d1ae','UId':'9670a190-b315-4332-be4b-7bd49a951b82','Col':6,'Row':19,'Format':'numberic','Value':'','TargetCode':''}</v>
      </c>
    </row>
    <row r="55" ht="12.75">
      <c r="A55" t="e">
        <f>CONCATENATE("{'SheetId':'5aedcdd2-7524-4a4f-b329-736d1613d1ae'",",","'UId':'f6e8f96a-7d1a-40c6-83bc-7f810f0d4bca'",",'Col':",COLUMN(BCTaiSan_06027!A21),",'Row':",ROW(BCTaiSan_06027!A21),",","'ColDynamic':",COLUMN(BCTaiSan_06027!#REF!),",","'RowDynamic':",ROW(BCTaiSan_06027!#REF!),",","'Format':'string'",",'Value':'",SUBSTITUTE(BCTaiSan_06027!A21,"'","\'"),"','TargetCode':''}")</f>
        <v>#REF!</v>
      </c>
    </row>
    <row r="56" ht="12.75">
      <c r="A56" t="e">
        <f>CONCATENATE("{'SheetId':'5aedcdd2-7524-4a4f-b329-736d1613d1ae'",",","'UId':'7c64f929-b467-4787-9955-f41bc6936b40'",",'Col':",COLUMN(BCTaiSan_06027!B21),",'Row':",ROW(BCTaiSan_06027!B21),",","'ColDynamic':",COLUMN(BCTaiSan_06027!#REF!),",","'RowDynamic':",ROW(BCTaiSan_06027!#REF!),",","'Format':'string'",",'Value':'",SUBSTITUTE(BCTaiSan_06027!B21,"'","\'"),"','TargetCode':''}")</f>
        <v>#REF!</v>
      </c>
    </row>
    <row r="57" ht="12.75">
      <c r="A57" t="e">
        <f>CONCATENATE("{'SheetId':'5aedcdd2-7524-4a4f-b329-736d1613d1ae'",",","'UId':'730f40b2-130a-4097-88f9-f009a3862b90'",",'Col':",COLUMN(BCTaiSan_06027!C21),",'Row':",ROW(BCTaiSan_06027!C21),",","'ColDynamic':",COLUMN(BCTaiSan_06027!#REF!),",","'RowDynamic':",ROW(BCTaiSan_06027!#REF!),",","'Format':'string'",",'Value':'",SUBSTITUTE(BCTaiSan_06027!C21,"'","\'"),"','TargetCode':''}")</f>
        <v>#REF!</v>
      </c>
    </row>
    <row r="58" ht="12.75">
      <c r="A58" t="e">
        <f>CONCATENATE("{'SheetId':'5aedcdd2-7524-4a4f-b329-736d1613d1ae'",",","'UId':'fd93a4a0-c67a-4490-8678-85ab28c59627'",",'Col':",COLUMN(BCTaiSan_06027!D21),",'Row':",ROW(BCTaiSan_06027!D21),",","'ColDynamic':",COLUMN(BCTaiSan_06027!#REF!),",","'RowDynamic':",ROW(BCTaiSan_06027!#REF!),",","'Format':'numberic'",",'Value':'",SUBSTITUTE(BCTaiSan_06027!D21,"'","\'"),"','TargetCode':''}")</f>
        <v>#REF!</v>
      </c>
    </row>
    <row r="59" ht="12.75">
      <c r="A59" t="e">
        <f>CONCATENATE("{'SheetId':'5aedcdd2-7524-4a4f-b329-736d1613d1ae'",",","'UId':'fcf911ca-e231-4e37-ba04-31a4d132b264'",",'Col':",COLUMN(BCTaiSan_06027!E21),",'Row':",ROW(BCTaiSan_06027!E21),",","'ColDynamic':",COLUMN(BCTaiSan_06027!#REF!),",","'RowDynamic':",ROW(BCTaiSan_06027!#REF!),",","'Format':'numberic'",",'Value':'",SUBSTITUTE(BCTaiSan_06027!E21,"'","\'"),"','TargetCode':''}")</f>
        <v>#REF!</v>
      </c>
    </row>
    <row r="60" ht="12.75">
      <c r="A60" t="e">
        <f>CONCATENATE("{'SheetId':'5aedcdd2-7524-4a4f-b329-736d1613d1ae'",",","'UId':'2d289968-fbe5-4b0a-bf5f-8a6df071d197'",",'Col':",COLUMN(BCTaiSan_06027!F21),",'Row':",ROW(BCTaiSan_06027!F21),",","'ColDynamic':",COLUMN(BCTaiSan_06027!#REF!),",","'RowDynamic':",ROW(BCTaiSan_06027!#REF!),",","'Format':'numberic'",",'Value':'",SUBSTITUTE(BCTaiSan_06027!F21,"'","\'"),"','TargetCode':''}")</f>
        <v>#REF!</v>
      </c>
    </row>
    <row r="61" ht="12.75">
      <c r="A61" t="e">
        <f>CONCATENATE("{'SheetId':'5aedcdd2-7524-4a4f-b329-736d1613d1ae'",",","'UId':'429113b4-21c3-4d2d-a49e-e54b8fa3448b'",",'Col':",COLUMN(BCTaiSan_06027!#REF!),",'Row':",ROW(BCTaiSan_06027!#REF!),",","'ColDynamic':",COLUMN(BCTaiSan_06027!A15),",","'RowDynamic':",ROW(BCTaiSan_06027!A15),",","'Format':'numberic'",",'Value':'",SUBSTITUTE(BCTaiSan_06027!#REF!,"'","\'"),"','TargetCode':''}")</f>
        <v>#REF!</v>
      </c>
    </row>
    <row r="62" ht="12.75">
      <c r="A62" t="e">
        <f>CONCATENATE("{'SheetId':'5aedcdd2-7524-4a4f-b329-736d1613d1ae'",",","'UId':'b0d4f040-e48a-49a4-89cb-82ab4377326b'",",'Col':",COLUMN(BCTaiSan_06027!#REF!),",'Row':",ROW(BCTaiSan_06027!#REF!),",","'ColDynamic':",COLUMN(BCTaiSan_06027!B15),",","'RowDynamic':",ROW(BCTaiSan_06027!B15),",","'Format':'string'",",'Value':'",SUBSTITUTE(BCTaiSan_06027!#REF!,"'","\'"),"','TargetCode':''}")</f>
        <v>#REF!</v>
      </c>
    </row>
    <row r="63" ht="12.75">
      <c r="A63" t="e">
        <f>CONCATENATE("{'SheetId':'5aedcdd2-7524-4a4f-b329-736d1613d1ae'",",","'UId':'065408bc-53bc-4b2d-a05d-d6b3cb7b5141'",",'Col':",COLUMN(BCTaiSan_06027!#REF!),",'Row':",ROW(BCTaiSan_06027!#REF!),",","'ColDynamic':",COLUMN(BCTaiSan_06027!C15),",","'RowDynamic':",ROW(BCTaiSan_06027!C15),",","'Format':'numberic'",",'Value':'",SUBSTITUTE(BCTaiSan_06027!#REF!,"'","\'"),"','TargetCode':''}")</f>
        <v>#REF!</v>
      </c>
    </row>
    <row r="64" ht="12.75">
      <c r="A64" t="e">
        <f>CONCATENATE("{'SheetId':'5aedcdd2-7524-4a4f-b329-736d1613d1ae'",",","'UId':'4a94e658-4312-4209-a152-e798cc810997'",",'Col':",COLUMN(BCTaiSan_06027!#REF!),",'Row':",ROW(BCTaiSan_06027!#REF!),",","'ColDynamic':",COLUMN(BCTaiSan_06027!D15),",","'RowDynamic':",ROW(BCTaiSan_06027!D15),",","'Format':'numberic'",",'Value':'",SUBSTITUTE(BCTaiSan_06027!#REF!,"'","\'"),"','TargetCode':''}")</f>
        <v>#REF!</v>
      </c>
    </row>
    <row r="65" ht="12.75">
      <c r="A65" t="e">
        <f>CONCATENATE("{'SheetId':'5aedcdd2-7524-4a4f-b329-736d1613d1ae'",",","'UId':'54ea434c-4c89-49f6-ac6c-9e1d3d39c54a'",",'Col':",COLUMN(BCTaiSan_06027!#REF!),",'Row':",ROW(BCTaiSan_06027!#REF!),",","'ColDynamic':",COLUMN(BCTaiSan_06027!E15),",","'RowDynamic':",ROW(BCTaiSan_06027!E15),",","'Format':'numberic'",",'Value':'",SUBSTITUTE(BCTaiSan_06027!#REF!,"'","\'"),"','TargetCode':''}")</f>
        <v>#REF!</v>
      </c>
    </row>
    <row r="66" ht="12.75">
      <c r="A66" t="e">
        <f>CONCATENATE("{'SheetId':'5aedcdd2-7524-4a4f-b329-736d1613d1ae'",",","'UId':'2b49fc55-ee6e-4a25-8087-c14005ea648d'",",'Col':",COLUMN(BCTaiSan_06027!#REF!),",'Row':",ROW(BCTaiSan_06027!#REF!),",","'ColDynamic':",COLUMN(BCTaiSan_06027!F15),",","'RowDynamic':",ROW(BCTaiSan_06027!F15),",","'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23),",'Row':",ROW(BCTaiSan_06027!D23),",","'Format':'numberic'",",'Value':'",SUBSTITUTE(BCTaiSan_06027!D23,"'","\'"),"','TargetCode':''}")</f>
        <v>{'SheetId':'5aedcdd2-7524-4a4f-b329-736d1613d1ae','UId':'9165401c-9eab-437b-81ae-d4feb80e4e2f','Col':4,'Row':23,'Format':'numberic','Value':'','TargetCode':''}</v>
      </c>
    </row>
    <row r="86" ht="12.75">
      <c r="A86" t="str">
        <f>CONCATENATE("{'SheetId':'5aedcdd2-7524-4a4f-b329-736d1613d1ae'",",","'UId':'a439d206-4c67-47d4-afcd-d4f8e627acf1'",",'Col':",COLUMN(BCTaiSan_06027!E23),",'Row':",ROW(BCTaiSan_06027!E23),",","'Format':'numberic'",",'Value':'",SUBSTITUTE(BCTaiSan_06027!E23,"'","\'"),"','TargetCode':''}")</f>
        <v>{'SheetId':'5aedcdd2-7524-4a4f-b329-736d1613d1ae','UId':'a439d206-4c67-47d4-afcd-d4f8e627acf1','Col':5,'Row':23,'Format':'numberic','Value':'0','TargetCode':''}</v>
      </c>
    </row>
    <row r="87" ht="12.75">
      <c r="A87" t="str">
        <f>CONCATENATE("{'SheetId':'5aedcdd2-7524-4a4f-b329-736d1613d1ae'",",","'UId':'8906c8be-ac8d-4de9-aebb-1de6b88d0a22'",",'Col':",COLUMN(BCTaiSan_06027!F23),",'Row':",ROW(BCTaiSan_06027!F23),",","'Format':'numberic'",",'Value':'",SUBSTITUTE(BCTaiSan_06027!F23,"'","\'"),"','TargetCode':''}")</f>
        <v>{'SheetId':'5aedcdd2-7524-4a4f-b329-736d1613d1ae','UId':'8906c8be-ac8d-4de9-aebb-1de6b88d0a22','Col':6,'Row':23,'Format':'numberic','Value':'','TargetCode':''}</v>
      </c>
    </row>
    <row r="88" ht="12.75">
      <c r="A88" t="str">
        <f>CONCATENATE("{'SheetId':'5aedcdd2-7524-4a4f-b329-736d1613d1ae'",",","'UId':'fcc35a7f-f6b8-4bb3-8ca7-ebe672f71784'",",'Col':",COLUMN(BCTaiSan_06027!D25),",'Row':",ROW(BCTaiSan_06027!D25),",","'Format':'numberic'",",'Value':'",SUBSTITUTE(BCTaiSan_06027!D25,"'","\'"),"','TargetCode':''}")</f>
        <v>{'SheetId':'5aedcdd2-7524-4a4f-b329-736d1613d1ae','UId':'fcc35a7f-f6b8-4bb3-8ca7-ebe672f71784','Col':4,'Row':25,'Format':'numberic','Value':'','TargetCode':''}</v>
      </c>
    </row>
    <row r="89" ht="12.75">
      <c r="A89" t="str">
        <f>CONCATENATE("{'SheetId':'5aedcdd2-7524-4a4f-b329-736d1613d1ae'",",","'UId':'a136b878-a09a-4ca8-9264-ae97a1f9fec3'",",'Col':",COLUMN(BCTaiSan_06027!E25),",'Row':",ROW(BCTaiSan_06027!E25),",","'Format':'numberic'",",'Value':'",SUBSTITUTE(BCTaiSan_06027!E25,"'","\'"),"','TargetCode':''}")</f>
        <v>{'SheetId':'5aedcdd2-7524-4a4f-b329-736d1613d1ae','UId':'a136b878-a09a-4ca8-9264-ae97a1f9fec3','Col':5,'Row':25,'Format':'numberic','Value':'0','TargetCode':''}</v>
      </c>
    </row>
    <row r="90" ht="12.75">
      <c r="A90" t="str">
        <f>CONCATENATE("{'SheetId':'5aedcdd2-7524-4a4f-b329-736d1613d1ae'",",","'UId':'a8356e2f-9957-4c65-86e7-8c58d3059caa'",",'Col':",COLUMN(BCTaiSan_06027!F25),",'Row':",ROW(BCTaiSan_06027!F25),",","'Format':'numberic'",",'Value':'",SUBSTITUTE(BCTaiSan_06027!F25,"'","\'"),"','TargetCode':''}")</f>
        <v>{'SheetId':'5aedcdd2-7524-4a4f-b329-736d1613d1ae','UId':'a8356e2f-9957-4c65-86e7-8c58d3059caa','Col':6,'Row':25,'Format':'numberic','Value':'','TargetCode':''}</v>
      </c>
    </row>
    <row r="91" ht="12.75">
      <c r="A91" t="str">
        <f>CONCATENATE("{'SheetId':'5aedcdd2-7524-4a4f-b329-736d1613d1ae'",",","'UId':'d658a5fe-69b7-43dd-b32e-4c1914beb25f'",",'Col':",COLUMN(BCTaiSan_06027!D27),",'Row':",ROW(BCTaiSan_06027!D27),",","'Format':'numberic'",",'Value':'",SUBSTITUTE(BCTaiSan_06027!D27,"'","\'"),"','TargetCode':''}")</f>
        <v>{'SheetId':'5aedcdd2-7524-4a4f-b329-736d1613d1ae','UId':'d658a5fe-69b7-43dd-b32e-4c1914beb25f','Col':4,'Row':27,'Format':'numberic','Value':'123229146430','TargetCode':''}</v>
      </c>
    </row>
    <row r="92" ht="12.75">
      <c r="A92" t="str">
        <f>CONCATENATE("{'SheetId':'5aedcdd2-7524-4a4f-b329-736d1613d1ae'",",","'UId':'d06f90ca-bd66-421a-8cc3-6e3bfb681663'",",'Col':",COLUMN(BCTaiSan_06027!E27),",'Row':",ROW(BCTaiSan_06027!E27),",","'Format':'numberic'",",'Value':'",SUBSTITUTE(BCTaiSan_06027!E27,"'","\'"),"','TargetCode':''}")</f>
        <v>{'SheetId':'5aedcdd2-7524-4a4f-b329-736d1613d1ae','UId':'d06f90ca-bd66-421a-8cc3-6e3bfb681663','Col':5,'Row':27,'Format':'numberic','Value':'125846039577','TargetCode':''}</v>
      </c>
    </row>
    <row r="93" ht="12.75">
      <c r="A93" t="str">
        <f>CONCATENATE("{'SheetId':'5aedcdd2-7524-4a4f-b329-736d1613d1ae'",",","'UId':'3afa0586-8350-4d11-b45e-528e4fb594a3'",",'Col':",COLUMN(BCTaiSan_06027!F27),",'Row':",ROW(BCTaiSan_06027!F27),",","'Format':'numberic'",",'Value':'",SUBSTITUTE(BCTaiSan_06027!F27,"'","\'"),"','TargetCode':''}")</f>
        <v>{'SheetId':'5aedcdd2-7524-4a4f-b329-736d1613d1ae','UId':'3afa0586-8350-4d11-b45e-528e4fb594a3','Col':6,'Row':27,'Format':'numberic','Value':'2.17141381373845','TargetCode':''}</v>
      </c>
    </row>
    <row r="94" ht="12.75">
      <c r="A94" t="e">
        <f>CONCATENATE("{'SheetId':'5aedcdd2-7524-4a4f-b329-736d1613d1ae'",",","'UId':'d548c3e3-1502-45fc-ac84-2e6ed3c0c2b0'",",'Col':",COLUMN(BCTaiSan_06027!A28),",'Row':",ROW(BCTaiSan_06027!A28),",","'ColDynamic':",COLUMN(BCTaiSan_06027!#REF!),",","'RowDynamic':",ROW(BCTaiSan_06027!#REF!),",","'Format':'string'",",'Value':'",SUBSTITUTE(BCTaiSan_06027!A28,"'","\'"),"','TargetCode':''}")</f>
        <v>#REF!</v>
      </c>
    </row>
    <row r="95" ht="12.75">
      <c r="A95" t="e">
        <f>CONCATENATE("{'SheetId':'5aedcdd2-7524-4a4f-b329-736d1613d1ae'",",","'UId':'a9ae3b70-e29b-4bf1-bbf5-5eb74c091677'",",'Col':",COLUMN(BCTaiSan_06027!B28),",'Row':",ROW(BCTaiSan_06027!B28),",","'ColDynamic':",COLUMN(BCTaiSan_06027!#REF!),",","'RowDynamic':",ROW(BCTaiSan_06027!#REF!),",","'Format':'string'",",'Value':'",SUBSTITUTE(BCTaiSan_06027!B28,"'","\'"),"','TargetCode':''}")</f>
        <v>#REF!</v>
      </c>
    </row>
    <row r="96" ht="12.75">
      <c r="A96" t="e">
        <f>CONCATENATE("{'SheetId':'5aedcdd2-7524-4a4f-b329-736d1613d1ae'",",","'UId':'097ee258-be00-4608-8dc1-f420aabf1dda'",",'Col':",COLUMN(BCTaiSan_06027!C28),",'Row':",ROW(BCTaiSan_06027!C28),",","'ColDynamic':",COLUMN(BCTaiSan_06027!#REF!),",","'RowDynamic':",ROW(BCTaiSan_06027!#REF!),",","'Format':'string'",",'Value':'",SUBSTITUTE(BCTaiSan_06027!C28,"'","\'"),"','TargetCode':''}")</f>
        <v>#REF!</v>
      </c>
    </row>
    <row r="97" ht="12.75">
      <c r="A97" t="e">
        <f>CONCATENATE("{'SheetId':'5aedcdd2-7524-4a4f-b329-736d1613d1ae'",",","'UId':'c0a5eee6-84a8-4294-82d8-68a2433fd220'",",'Col':",COLUMN(BCTaiSan_06027!D28),",'Row':",ROW(BCTaiSan_06027!D28),",","'ColDynamic':",COLUMN(BCTaiSan_06027!#REF!),",","'RowDynamic':",ROW(BCTaiSan_06027!#REF!),",","'Format':'numberic'",",'Value':'",SUBSTITUTE(BCTaiSan_06027!D28,"'","\'"),"','TargetCode':''}")</f>
        <v>#REF!</v>
      </c>
    </row>
    <row r="98" ht="12.75">
      <c r="A98" t="e">
        <f>CONCATENATE("{'SheetId':'5aedcdd2-7524-4a4f-b329-736d1613d1ae'",",","'UId':'a4ede6ba-ec49-4991-9f32-c8e9bcfe31d0'",",'Col':",COLUMN(BCTaiSan_06027!E28),",'Row':",ROW(BCTaiSan_06027!E28),",","'ColDynamic':",COLUMN(BCTaiSan_06027!#REF!),",","'RowDynamic':",ROW(BCTaiSan_06027!#REF!),",","'Format':'numberic'",",'Value':'",SUBSTITUTE(BCTaiSan_06027!E28,"'","\'"),"','TargetCode':''}")</f>
        <v>#REF!</v>
      </c>
    </row>
    <row r="99" ht="12.75">
      <c r="A99" t="e">
        <f>CONCATENATE("{'SheetId':'5aedcdd2-7524-4a4f-b329-736d1613d1ae'",",","'UId':'ebe7f90a-4c76-4d55-af2e-bf84fb789084'",",'Col':",COLUMN(BCTaiSan_06027!F28),",'Row':",ROW(BCTaiSan_06027!F28),",","'ColDynamic':",COLUMN(BCTaiSan_06027!#REF!),",","'RowDynamic':",ROW(BCTaiSan_06027!#REF!),",","'Format':'numberic'",",'Value':'",SUBSTITUTE(BCTaiSan_06027!F28,"'","\'"),"','TargetCode':''}")</f>
        <v>#REF!</v>
      </c>
    </row>
    <row r="100" ht="12.75">
      <c r="A100" t="e">
        <f>CONCATENATE("{'SheetId':'5aedcdd2-7524-4a4f-b329-736d1613d1ae'",",","'UId':'58e21377-a719-4e89-80fb-23a88c96320b'",",'Col':",COLUMN(BCTaiSan_06027!A29),",'Row':",ROW(BCTaiSan_06027!A29),",","'ColDynamic':",COLUMN(BCTaiSan_06027!#REF!),",","'RowDynamic':",ROW(BCTaiSan_06027!#REF!),",","'Format':'numberic'",",'Value':'",SUBSTITUTE(BCTaiSan_06027!A29,"'","\'"),"','TargetCode':''}")</f>
        <v>#REF!</v>
      </c>
    </row>
    <row r="101" ht="12.75">
      <c r="A101" t="e">
        <f>CONCATENATE("{'SheetId':'5aedcdd2-7524-4a4f-b329-736d1613d1ae'",",","'UId':'057ab56e-3793-4727-b4fd-1da089f66590'",",'Col':",COLUMN(BCTaiSan_06027!B29),",'Row':",ROW(BCTaiSan_06027!B29),",","'ColDynamic':",COLUMN(BCTaiSan_06027!#REF!),",","'RowDynamic':",ROW(BCTaiSan_06027!#REF!),",","'Format':'string'",",'Value':'",SUBSTITUTE(BCTaiSan_06027!B29,"'","\'"),"','TargetCode':''}")</f>
        <v>#REF!</v>
      </c>
    </row>
    <row r="102" ht="12.75">
      <c r="A102" t="e">
        <f>CONCATENATE("{'SheetId':'5aedcdd2-7524-4a4f-b329-736d1613d1ae'",",","'UId':'eb909b8e-e707-4882-a3a2-de732a92a8c7'",",'Col':",COLUMN(BCTaiSan_06027!C29),",'Row':",ROW(BCTaiSan_06027!C29),",","'ColDynamic':",COLUMN(BCTaiSan_06027!#REF!),",","'RowDynamic':",ROW(BCTaiSan_06027!#REF!),",","'Format':'numberic'",",'Value':'",SUBSTITUTE(BCTaiSan_06027!C29,"'","\'"),"','TargetCode':''}")</f>
        <v>#REF!</v>
      </c>
    </row>
    <row r="103" ht="12.75">
      <c r="A103" t="e">
        <f>CONCATENATE("{'SheetId':'5aedcdd2-7524-4a4f-b329-736d1613d1ae'",",","'UId':'ba96be21-e7d2-468c-94f7-69e2d9c3def9'",",'Col':",COLUMN(BCTaiSan_06027!D29),",'Row':",ROW(BCTaiSan_06027!D29),",","'ColDynamic':",COLUMN(BCTaiSan_06027!#REF!),",","'RowDynamic':",ROW(BCTaiSan_06027!#REF!),",","'Format':'numberic'",",'Value':'",SUBSTITUTE(BCTaiSan_06027!D29,"'","\'"),"','TargetCode':''}")</f>
        <v>#REF!</v>
      </c>
    </row>
    <row r="104" ht="12.75">
      <c r="A104" t="e">
        <f>CONCATENATE("{'SheetId':'5aedcdd2-7524-4a4f-b329-736d1613d1ae'",",","'UId':'4b13ebd4-ed25-4cf3-9c4a-60a73dc646a9'",",'Col':",COLUMN(BCTaiSan_06027!E29),",'Row':",ROW(BCTaiSan_06027!E29),",","'ColDynamic':",COLUMN(BCTaiSan_06027!#REF!),",","'RowDynamic':",ROW(BCTaiSan_06027!#REF!),",","'Format':'numberic'",",'Value':'",SUBSTITUTE(BCTaiSan_06027!E29,"'","\'"),"','TargetCode':''}")</f>
        <v>#REF!</v>
      </c>
    </row>
    <row r="105" ht="12.75">
      <c r="A105" t="e">
        <f>CONCATENATE("{'SheetId':'5aedcdd2-7524-4a4f-b329-736d1613d1ae'",",","'UId':'8b67476d-68af-436e-87a4-0029abbf73d8'",",'Col':",COLUMN(BCTaiSan_06027!F29),",'Row':",ROW(BCTaiSan_06027!F29),",","'ColDynamic':",COLUMN(BCTaiSan_06027!#REF!),",","'RowDynamic':",ROW(BCTaiSan_06027!#REF!),",","'Format':'numberic'",",'Value':'",SUBSTITUTE(BCTaiSan_06027!F29,"'","\'"),"','TargetCode':''}")</f>
        <v>#REF!</v>
      </c>
    </row>
    <row r="106" ht="12.75">
      <c r="A106" t="str">
        <f>CONCATENATE("{'SheetId':'5aedcdd2-7524-4a4f-b329-736d1613d1ae'",",","'UId':'6823b56c-6355-4646-a028-45bac846780f'",",'Col':",COLUMN(BCTaiSan_06027!D31),",'Row':",ROW(BCTaiSan_06027!D31),",","'Format':'numberic'",",'Value':'",SUBSTITUTE(BCTaiSan_06027!D31,"'","\'"),"','TargetCode':''}")</f>
        <v>{'SheetId':'5aedcdd2-7524-4a4f-b329-736d1613d1ae','UId':'6823b56c-6355-4646-a028-45bac846780f','Col':4,'Row':31,'Format':'numberic','Value':'','TargetCode':''}</v>
      </c>
    </row>
    <row r="107" ht="12.75">
      <c r="A107" t="str">
        <f>CONCATENATE("{'SheetId':'5aedcdd2-7524-4a4f-b329-736d1613d1ae'",",","'UId':'3318279c-387a-4099-bb92-e31c1fe449fe'",",'Col':",COLUMN(BCTaiSan_06027!E31),",'Row':",ROW(BCTaiSan_06027!E31),",","'Format':'numberic'",",'Value':'",SUBSTITUTE(BCTaiSan_06027!E31,"'","\'"),"','TargetCode':''}")</f>
        <v>{'SheetId':'5aedcdd2-7524-4a4f-b329-736d1613d1ae','UId':'3318279c-387a-4099-bb92-e31c1fe449fe','Col':5,'Row':31,'Format':'numberic','Value':'0','TargetCode':''}</v>
      </c>
    </row>
    <row r="108" ht="12.75">
      <c r="A108" t="str">
        <f>CONCATENATE("{'SheetId':'5aedcdd2-7524-4a4f-b329-736d1613d1ae'",",","'UId':'4e4bdcf0-80c6-4aab-a280-ce14045479a2'",",'Col':",COLUMN(BCTaiSan_06027!F31),",'Row':",ROW(BCTaiSan_06027!F31),",","'Format':'numberic'",",'Value':'",SUBSTITUTE(BCTaiSan_06027!F31,"'","\'"),"','TargetCode':''}")</f>
        <v>{'SheetId':'5aedcdd2-7524-4a4f-b329-736d1613d1ae','UId':'4e4bdcf0-80c6-4aab-a280-ce14045479a2','Col':6,'Row':31,'Format':'numberic','Value':'','TargetCode':''}</v>
      </c>
    </row>
    <row r="109" ht="12.75">
      <c r="A109" t="e">
        <f>CONCATENATE("{'SheetId':'5aedcdd2-7524-4a4f-b329-736d1613d1ae'",",","'UId':'86156d9a-5419-49e8-80ee-8b1613fb9536'",",'Col':",COLUMN(BCTaiSan_06027!#REF!),",'Row':",ROW(BCTaiSan_06027!#REF!),",","'ColDynamic':",COLUMN(BCTaiSan_06027!A25),",","'RowDynamic':",ROW(BCTaiSan_06027!A25),",","'Format':'numberic'",",'Value':'",SUBSTITUTE(BCTaiSan_06027!#REF!,"'","\'"),"','TargetCode':''}")</f>
        <v>#REF!</v>
      </c>
    </row>
    <row r="110" ht="12.75">
      <c r="A110" t="e">
        <f>CONCATENATE("{'SheetId':'5aedcdd2-7524-4a4f-b329-736d1613d1ae'",",","'UId':'c8455213-9e22-4e00-855c-d23497aa3ad3'",",'Col':",COLUMN(BCTaiSan_06027!#REF!),",'Row':",ROW(BCTaiSan_06027!#REF!),",","'ColDynamic':",COLUMN(BCTaiSan_06027!B25),",","'RowDynamic':",ROW(BCTaiSan_06027!B25),",","'Format':'string'",",'Value':'",SUBSTITUTE(BCTaiSan_06027!#REF!,"'","\'"),"','TargetCode':''}")</f>
        <v>#REF!</v>
      </c>
    </row>
    <row r="111" ht="12.75">
      <c r="A111" t="e">
        <f>CONCATENATE("{'SheetId':'5aedcdd2-7524-4a4f-b329-736d1613d1ae'",",","'UId':'d9e7d136-a533-46c2-b197-f22c0d7194d4'",",'Col':",COLUMN(BCTaiSan_06027!#REF!),",'Row':",ROW(BCTaiSan_06027!#REF!),",","'ColDynamic':",COLUMN(BCTaiSan_06027!C25),",","'RowDynamic':",ROW(BCTaiSan_06027!C25),",","'Format':'numberic'",",'Value':'",SUBSTITUTE(BCTaiSan_06027!#REF!,"'","\'"),"','TargetCode':''}")</f>
        <v>#REF!</v>
      </c>
    </row>
    <row r="112" ht="12.75">
      <c r="A112" t="e">
        <f>CONCATENATE("{'SheetId':'5aedcdd2-7524-4a4f-b329-736d1613d1ae'",",","'UId':'8d4f19d9-f5c2-4bf7-96e9-f9107e17baec'",",'Col':",COLUMN(BCTaiSan_06027!#REF!),",'Row':",ROW(BCTaiSan_06027!#REF!),",","'ColDynamic':",COLUMN(BCTaiSan_06027!D25),",","'RowDynamic':",ROW(BCTaiSan_06027!D25),",","'Format':'numberic'",",'Value':'",SUBSTITUTE(BCTaiSan_06027!#REF!,"'","\'"),"','TargetCode':''}")</f>
        <v>#REF!</v>
      </c>
    </row>
    <row r="113" ht="12.75">
      <c r="A113" t="e">
        <f>CONCATENATE("{'SheetId':'5aedcdd2-7524-4a4f-b329-736d1613d1ae'",",","'UId':'599e1d93-b92c-4a4c-b0ed-6b23cc561218'",",'Col':",COLUMN(BCTaiSan_06027!#REF!),",'Row':",ROW(BCTaiSan_06027!#REF!),",","'ColDynamic':",COLUMN(BCTaiSan_06027!E25),",","'RowDynamic':",ROW(BCTaiSan_06027!E25),",","'Format':'numberic'",",'Value':'",SUBSTITUTE(BCTaiSan_06027!#REF!,"'","\'"),"','TargetCode':''}")</f>
        <v>#REF!</v>
      </c>
    </row>
    <row r="114" ht="12.75">
      <c r="A114" t="e">
        <f>CONCATENATE("{'SheetId':'5aedcdd2-7524-4a4f-b329-736d1613d1ae'",",","'UId':'147436ab-04be-44a5-bbed-cb05e3abc871'",",'Col':",COLUMN(BCTaiSan_06027!#REF!),",'Row':",ROW(BCTaiSan_06027!#REF!),",","'ColDynamic':",COLUMN(BCTaiSan_06027!F25),",","'RowDynamic':",ROW(BCTaiSan_06027!F25),",","'Format':'numberic'",",'Value':'",SUBSTITUTE(BCTaiSan_06027!#REF!,"'","\'"),"','TargetCode':''}")</f>
        <v>#REF!</v>
      </c>
    </row>
    <row r="115" ht="12.75">
      <c r="A115" t="str">
        <f>CONCATENATE("{'SheetId':'5aedcdd2-7524-4a4f-b329-736d1613d1ae'",",","'UId':'3c70b8a9-b1ec-43c2-876f-82404e71a395'",",'Col':",COLUMN(BCTaiSan_06027!D51),",'Row':",ROW(BCTaiSan_06027!D51),",","'Format':'numberic'",",'Value':'",SUBSTITUTE(BCTaiSan_06027!D51,"'","\'"),"','TargetCode':''}")</f>
        <v>{'SheetId':'5aedcdd2-7524-4a4f-b329-736d1613d1ae','UId':'3c70b8a9-b1ec-43c2-876f-82404e71a395','Col':4,'Row':51,'Format':'numberic','Value':' - ','TargetCode':''}</v>
      </c>
    </row>
    <row r="116" ht="12.75">
      <c r="A116" t="str">
        <f>CONCATENATE("{'SheetId':'5aedcdd2-7524-4a4f-b329-736d1613d1ae'",",","'UId':'12d35449-1610-445d-a82a-ca6aa3c24666'",",'Col':",COLUMN(BCTaiSan_06027!E51),",'Row':",ROW(BCTaiSan_06027!E51),",","'Format':'numberic'",",'Value':'",SUBSTITUTE(BCTaiSan_06027!E51,"'","\'"),"','TargetCode':''}")</f>
        <v>{'SheetId':'5aedcdd2-7524-4a4f-b329-736d1613d1ae','UId':'12d35449-1610-445d-a82a-ca6aa3c24666','Col':5,'Row':51,'Format':'numberic','Value':' - ','TargetCode':''}</v>
      </c>
    </row>
    <row r="117" ht="12.75">
      <c r="A117" t="str">
        <f>CONCATENATE("{'SheetId':'5aedcdd2-7524-4a4f-b329-736d1613d1ae'",",","'UId':'12315a60-eed3-4b10-a10c-2f67a18ee638'",",'Col':",COLUMN(BCTaiSan_06027!F51),",'Row':",ROW(BCTaiSan_06027!F51),",","'Format':'numberic'",",'Value':'",SUBSTITUTE(BCTaiSan_06027!F51,"'","\'"),"','TargetCode':''}")</f>
        <v>{'SheetId':'5aedcdd2-7524-4a4f-b329-736d1613d1ae','UId':'12315a60-eed3-4b10-a10c-2f67a18ee638','Col':6,'Row':51,'Format':'numberic','Value':'','TargetCode':''}</v>
      </c>
    </row>
    <row r="118" ht="12.75">
      <c r="A118" t="str">
        <f>CONCATENATE("{'SheetId':'5aedcdd2-7524-4a4f-b329-736d1613d1ae'",",","'UId':'47fa62ea-4432-4646-9d4f-ee5aab71af85'",",'Col':",COLUMN(BCTaiSan_06027!D52),",'Row':",ROW(BCTaiSan_06027!D52),",","'Format':'numberic'",",'Value':'",SUBSTITUTE(BCTaiSan_06027!D52,"'","\'"),"','TargetCode':''}")</f>
        <v>{'SheetId':'5aedcdd2-7524-4a4f-b329-736d1613d1ae','UId':'47fa62ea-4432-4646-9d4f-ee5aab71af85','Col':4,'Row':52,'Format':'numberic','Value':' - ','TargetCode':''}</v>
      </c>
    </row>
    <row r="119" ht="12.75">
      <c r="A119" t="str">
        <f>CONCATENATE("{'SheetId':'5aedcdd2-7524-4a4f-b329-736d1613d1ae'",",","'UId':'3afb4556-da28-46fc-a2b2-36ba72752042'",",'Col':",COLUMN(BCTaiSan_06027!E52),",'Row':",ROW(BCTaiSan_06027!E52),",","'Format':'numberic'",",'Value':'",SUBSTITUTE(BCTaiSan_06027!E52,"'","\'"),"','TargetCode':''}")</f>
        <v>{'SheetId':'5aedcdd2-7524-4a4f-b329-736d1613d1ae','UId':'3afb4556-da28-46fc-a2b2-36ba72752042','Col':5,'Row':52,'Format':'numberic','Value':' - ','TargetCode':''}</v>
      </c>
    </row>
    <row r="120" ht="12.75">
      <c r="A120" t="str">
        <f>CONCATENATE("{'SheetId':'5aedcdd2-7524-4a4f-b329-736d1613d1ae'",",","'UId':'76b3aaa6-980e-4c01-b289-c500e2a6bc24'",",'Col':",COLUMN(BCTaiSan_06027!F52),",'Row':",ROW(BCTaiSan_06027!F52),",","'Format':'numberic'",",'Value':'",SUBSTITUTE(BCTaiSan_06027!F52,"'","\'"),"','TargetCode':''}")</f>
        <v>{'SheetId':'5aedcdd2-7524-4a4f-b329-736d1613d1ae','UId':'76b3aaa6-980e-4c01-b289-c500e2a6bc24','Col':6,'Row':52,'Format':'numberic','Value':'','TargetCode':''}</v>
      </c>
    </row>
    <row r="121" ht="12.75">
      <c r="A121" t="str">
        <f>CONCATENATE("{'SheetId':'5aedcdd2-7524-4a4f-b329-736d1613d1ae'",",","'UId':'7104513d-d6f9-4449-8a07-2e2ffcb96545'",",'Col':",COLUMN(BCTaiSan_06027!D53),",'Row':",ROW(BCTaiSan_06027!D53),",","'Format':'numberic'",",'Value':'",SUBSTITUTE(BCTaiSan_06027!D53,"'","\'"),"','TargetCode':''}")</f>
        <v>{'SheetId':'5aedcdd2-7524-4a4f-b329-736d1613d1ae','UId':'7104513d-d6f9-4449-8a07-2e2ffcb96545','Col':4,'Row':53,'Format':'numberic','Value':' - ','TargetCode':''}</v>
      </c>
    </row>
    <row r="122" ht="12.75">
      <c r="A122" t="str">
        <f>CONCATENATE("{'SheetId':'5aedcdd2-7524-4a4f-b329-736d1613d1ae'",",","'UId':'3e6dbc06-a87f-42e5-8f05-e55e94914d01'",",'Col':",COLUMN(BCTaiSan_06027!E53),",'Row':",ROW(BCTaiSan_06027!E53),",","'Format':'numberic'",",'Value':'",SUBSTITUTE(BCTaiSan_06027!E53,"'","\'"),"','TargetCode':''}")</f>
        <v>{'SheetId':'5aedcdd2-7524-4a4f-b329-736d1613d1ae','UId':'3e6dbc06-a87f-42e5-8f05-e55e94914d01','Col':5,'Row':53,'Format':'numberic','Value':' - ','TargetCode':''}</v>
      </c>
    </row>
    <row r="123" ht="12.75">
      <c r="A123" t="str">
        <f>CONCATENATE("{'SheetId':'5aedcdd2-7524-4a4f-b329-736d1613d1ae'",",","'UId':'f428fa58-01e3-47d4-8c5d-1c46168be529'",",'Col':",COLUMN(BCTaiSan_06027!F53),",'Row':",ROW(BCTaiSan_06027!F53),",","'Format':'numberic'",",'Value':'",SUBSTITUTE(BCTaiSan_06027!F53,"'","\'"),"','TargetCode':''}")</f>
        <v>{'SheetId':'5aedcdd2-7524-4a4f-b329-736d1613d1ae','UId':'f428fa58-01e3-47d4-8c5d-1c46168be529','Col':6,'Row':53,'Format':'numberic','Value':'','TargetCode':''}</v>
      </c>
    </row>
    <row r="124" ht="12.75">
      <c r="A124" t="str">
        <f>CONCATENATE("{'SheetId':'5aedcdd2-7524-4a4f-b329-736d1613d1ae'",",","'UId':'4e4f6161-da0f-463f-8dd1-39772b1d4eda'",",'Col':",COLUMN(BCTaiSan_06027!D54),",'Row':",ROW(BCTaiSan_06027!D54),",","'Format':'numberic'",",'Value':'",SUBSTITUTE(BCTaiSan_06027!D54,"'","\'"),"','TargetCode':''}")</f>
        <v>{'SheetId':'5aedcdd2-7524-4a4f-b329-736d1613d1ae','UId':'4e4f6161-da0f-463f-8dd1-39772b1d4eda','Col':4,'Row':54,'Format':'numberic','Value':'744381276','TargetCode':''}</v>
      </c>
    </row>
    <row r="125" ht="12.75">
      <c r="A125" t="str">
        <f>CONCATENATE("{'SheetId':'5aedcdd2-7524-4a4f-b329-736d1613d1ae'",",","'UId':'4a847a8c-942e-443a-8eae-7a36b88630ea'",",'Col':",COLUMN(BCTaiSan_06027!E54),",'Row':",ROW(BCTaiSan_06027!E54),",","'Format':'numberic'",",'Value':'",SUBSTITUTE(BCTaiSan_06027!E54,"'","\'"),"','TargetCode':''}")</f>
        <v>{'SheetId':'5aedcdd2-7524-4a4f-b329-736d1613d1ae','UId':'4a847a8c-942e-443a-8eae-7a36b88630ea','Col':5,'Row':54,'Format':'numberic','Value':'6530604209','TargetCode':''}</v>
      </c>
    </row>
    <row r="126" ht="12.75">
      <c r="A126" t="str">
        <f>CONCATENATE("{'SheetId':'5aedcdd2-7524-4a4f-b329-736d1613d1ae'",",","'UId':'b1a27640-3dfd-4efe-90b1-884e8ae97752'",",'Col':",COLUMN(BCTaiSan_06027!F54),",'Row':",ROW(BCTaiSan_06027!F54),",","'Format':'numberic'",",'Value':'",SUBSTITUTE(BCTaiSan_06027!F54,"'","\'"),"','TargetCode':''}")</f>
        <v>{'SheetId':'5aedcdd2-7524-4a4f-b329-736d1613d1ae','UId':'b1a27640-3dfd-4efe-90b1-884e8ae97752','Col':6,'Row':54,'Format':'numberic','Value':'3.32487190512757','TargetCode':''}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{'SheetId':'519840a2-a532-4a80-b743-e4fe31dc3552','UId':'1ab6082b-49bd-46b5-a368-d8740fb12834','Col':4,'Row':2,'Format':'numberic','Value':'2031961654','TargetCode':''}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{'SheetId':'519840a2-a532-4a80-b743-e4fe31dc3552','UId':'220cbdc8-4631-4f07-a522-f901ab9a56b6','Col':5,'Row':2,'Format':'numberic','Value':'1537639454','TargetCode':''}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{'SheetId':'519840a2-a532-4a80-b743-e4fe31dc3552','UId':'44591e3f-5579-49aa-bc70-68808b3d1875','Col':6,'Row':2,'Format':'numberic','Value':'4990594700','TargetCode':''}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{'SheetId':'519840a2-a532-4a80-b743-e4fe31dc3552','UId':'2b4c7218-ef2f-452d-80ea-cb1d29493e04','Col':4,'Row':12,'Format':'numberic','Value':'146094231','TargetCode':''}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{'SheetId':'519840a2-a532-4a80-b743-e4fe31dc3552','UId':'2916fb19-bceb-454d-ad42-4fc7a299a2a3','Col':5,'Row':12,'Format':'numberic','Value':'107531810','TargetCode':''}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{'SheetId':'519840a2-a532-4a80-b743-e4fe31dc3552','UId':'4e500903-fadf-4a73-8849-257ec68842d0','Col':6,'Row':12,'Format':'numberic','Value':'346839224','TargetCode':''}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{'SheetId':'519840a2-a532-4a80-b743-e4fe31dc3552','UId':'157e5771-4dd4-4ed6-838c-69dd228515cd','Col':4,'Row':14,'ColDynamic':4,'RowDynamic':11,'Format':'numberic','Value':'61639625','TargetCode':''}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{'SheetId':'519840a2-a532-4a80-b743-e4fe31dc3552','UId':'1e7708d3-6d2b-4639-8d85-59b3c9bf16f5','Col':5,'Row':14,'ColDynamic':5,'RowDynamic':11,'Format':'numberic','Value':'61579210','TargetCode':''}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{'SheetId':'519840a2-a532-4a80-b743-e4fe31dc3552','UId':'18031c0a-5fc4-4a35-8331-a60cef3972fd','Col':6,'Row':14,'ColDynamic':6,'RowDynamic':11,'Format':'numberic','Value':'184973762','TargetCode':''}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{'SheetId':'519840a2-a532-4a80-b743-e4fe31dc3552','UId':'7236a2f7-3d85-4186-bd79-f815a5305bc0','Col':4,'Row':17,'ColDynamic':4,'RowDynamic':9,'Format':'numberic','Value':'139625','TargetCode':''}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{'SheetId':'519840a2-a532-4a80-b743-e4fe31dc3552','UId':'41d51be1-826a-424b-a1c3-9f433e0fa1e0','Col':5,'Row':17,'ColDynamic':5,'RowDynamic':9,'Format':'numberic','Value':'79210','TargetCode':''}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{'SheetId':'519840a2-a532-4a80-b743-e4fe31dc3552','UId':'99b24644-99ee-4236-97d6-f31a397db047','Col':6,'Row':17,'ColDynamic':6,'RowDynamic':9,'Format':'numberic','Value':'473762','TargetCode':''}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{'SheetId':'519840a2-a532-4a80-b743-e4fe31dc3552','UId':'963cdae6-2163-4975-9a2a-f08497c7292d','Col':4,'Row':19,'Format':'numberic','Value':'82500000','TargetCode':''}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{'SheetId':'519840a2-a532-4a80-b743-e4fe31dc3552','UId':'85eed99f-bfdc-4be7-9967-72d9b1d67a5b','Col':5,'Row':19,'Format':'numberic','Value':'83600000','TargetCode':''}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{'SheetId':'519840a2-a532-4a80-b743-e4fe31dc3552','UId':'a66486eb-4505-4714-830d-ba2c3c0c6cd7','Col':6,'Row':19,'Format':'numberic','Value':'248600000','TargetCode':''}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{'SheetId':'519840a2-a532-4a80-b743-e4fe31dc3552','UId':'5e304af1-37e8-46ce-b68f-96ac1c745279','Col':4,'Row':22,'ColDynamic':4,'RowDynamic':14,'Format':'numberic','Value':'33000000','TargetCode':''}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{'SheetId':'519840a2-a532-4a80-b743-e4fe31dc3552','UId':'02dcd5d3-3a5e-4c36-9978-8477f2721b9f','Col':5,'Row':22,'ColDynamic':5,'RowDynamic':14,'Format':'numberic','Value':'34100000','TargetCode':''}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{'SheetId':'519840a2-a532-4a80-b743-e4fe31dc3552','UId':'73293ce3-f1c4-49bf-9519-202708440388','Col':6,'Row':22,'ColDynamic':6,'RowDynamic':14,'Format':'numberic','Value':'100100000','TargetCode':''}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{'SheetId':'519840a2-a532-4a80-b743-e4fe31dc3552','UId':'22eae942-46a3-4663-8bad-854ee399b27a','Col':4,'Row':33,'Format':'numberic','Value':'16702698','TargetCode':''}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{'SheetId':'519840a2-a532-4a80-b743-e4fe31dc3552','UId':'e86bd792-47df-41d4-b178-07deae52a1d3','Col':5,'Row':33,'Format':'numberic','Value':'1547310','TargetCode':''}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{'SheetId':'519840a2-a532-4a80-b743-e4fe31dc3552','UId':'38ae0936-1d1f-43c1-92bd-8403ec08cfeb','Col':6,'Row':33,'Format':'numberic','Value':'58669633','TargetCode':''}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{'SheetId':'519840a2-a532-4a80-b743-e4fe31dc3552','UId':'bfe9ffac-8ec1-40e3-88fa-42f3638e20c8','Col':4,'Row':36,'ColDynamic':4,'RowDynamic':27,'Format':'numberic','Value':'2560718','TargetCode':''}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{'SheetId':'519840a2-a532-4a80-b743-e4fe31dc3552','UId':'11038476-613e-43a0-89c3-f961b68ecf32','Col':5,'Row':36,'ColDynamic':5,'RowDynamic':27,'Format':'numberic','Value':'515770','TargetCode':''}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{'SheetId':'519840a2-a532-4a80-b743-e4fe31dc3552','UId':'be7b669c-6e76-4b2f-a0fb-92dcbf45e626','Col':6,'Row':36,'ColDynamic':6,'RowDynamic':27,'Format':'numberic','Value':'10073655','TargetCode':''}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{'SheetId':'519840a2-a532-4a80-b743-e4fe31dc3552','UId':'a2f958ce-55fd-4741-a0a1-bdcf0dd1c8ec','Col':4,'Row':38,'Format':'numberic','Value':'1028348','TargetCode':''}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{'SheetId':'519840a2-a532-4a80-b743-e4fe31dc3552','UId':'393bdfde-2176-402e-9b16-331c74ac5995','Col':5,'Row':38,'Format':'numberic','Value':'4412654','TargetCode':''}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{'SheetId':'519840a2-a532-4a80-b743-e4fe31dc3552','UId':'61a21fd4-9c85-4c00-b1f5-a006461b16c9','Col':6,'Row':38,'Format':'numberic','Value':'8202657','TargetCode':''}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{'SheetId':'519840a2-a532-4a80-b743-e4fe31dc3552','UId':'0e840f2a-55e8-472f-90c2-7a2142459c27','Col':4,'Row':41,'ColDynamic':4,'RowDynamic':16,'Format':'numberic','Value':'41091','TargetCode':''}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{'SheetId':'519840a2-a532-4a80-b743-e4fe31dc3552','UId':'102a2de3-8caa-495e-9317-436f7a11d50b','Col':5,'Row':41,'ColDynamic':5,'RowDynamic':16,'Format':'numberic','Value':'2493154','TargetCode':''}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{'SheetId':'519840a2-a532-4a80-b743-e4fe31dc3552','UId':'35f3ea0a-83d0-4be4-b861-05d6ff252f97','Col':6,'Row':41,'ColDynamic':6,'RowDynamic':16,'Format':'numberic','Value':'5000000','TargetCode':''}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{'SheetId':'519840a2-a532-4a80-b743-e4fe31dc3552','UId':'c95f90f6-640a-4331-b0e8-54422c753940','Col':4,'Row':43,'Format':'numberic','Value':'1704588524','TargetCode':''}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{'SheetId':'519840a2-a532-4a80-b743-e4fe31dc3552','UId':'19caeda8-1e5a-4518-8250-4c15acb82c48','Col':5,'Row':43,'Format':'numberic','Value':'1259771210','TargetCode':''}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{'SheetId':'519840a2-a532-4a80-b743-e4fe31dc3552','UId':'d743182c-5853-46f3-8604-ad3aa58840b8','Col':6,'Row':43,'Format':'numberic','Value':'4085717636','TargetCode':''}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{'SheetId':'519840a2-a532-4a80-b743-e4fe31dc3552','UId':'5fb4cc84-0a90-4cae-ba19-392c839af798','Col':4,'Row':44,'Format':'numberic','Value':'5144248','TargetCode':''}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{'SheetId':'519840a2-a532-4a80-b743-e4fe31dc3552','UId':'c14dbefc-c01b-44b0-a577-6f17c0396290','Col':5,'Row':44,'Format':'numberic','Value':'-89297164','TargetCode':''}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{'SheetId':'519840a2-a532-4a80-b743-e4fe31dc3552','UId':'d1eb0ab7-7a60-49c8-b8aa-39c894436edb','Col':6,'Row':44,'Format':'numberic','Value':'784555271','TargetCode':''}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{'SheetId':'519840a2-a532-4a80-b743-e4fe31dc3552','UId':'7dc5398f-c841-400c-850b-875a5c468e05','Col':4,'Row':45,'Format':'numberic','Value':'-232016785','TargetCode':''}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 - ','TargetCode':''}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{'SheetId':'519840a2-a532-4a80-b743-e4fe31dc3552','UId':'73bb9d14-e1ea-4394-a083-b8a649641cf9','Col':6,'Row':45,'Format':'numberic','Value':'1010929070','TargetCode':''}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{'SheetId':'519840a2-a532-4a80-b743-e4fe31dc3552','UId':'bab2e1a7-20d5-41fd-881b-9a21514bfc4f','Col':4,'Row':46,'Format':'numberic','Value':'237161033','TargetCode':''}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{'SheetId':'519840a2-a532-4a80-b743-e4fe31dc3552','UId':'128100c2-b671-4904-a5a9-41069ed12784','Col':5,'Row':46,'Format':'numberic','Value':'-89297164','TargetCode':''}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{'SheetId':'519840a2-a532-4a80-b743-e4fe31dc3552','UId':'04b06e65-b2eb-4858-bb0b-d72c0270f1f6','Col':6,'Row':46,'Format':'numberic','Value':'-226373799','TargetCode':''}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{'SheetId':'519840a2-a532-4a80-b743-e4fe31dc3552','UId':'0c34f541-ad2d-4bff-9fce-284295e89335','Col':4,'Row':47,'Format':'numberic','Value':'1709732772','TargetCode':''}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{'SheetId':'519840a2-a532-4a80-b743-e4fe31dc3552','UId':'a1069390-e9a5-41a9-8d0c-f5931f68451d','Col':5,'Row':47,'Format':'numberic','Value':'1170474046','TargetCode':''}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{'SheetId':'519840a2-a532-4a80-b743-e4fe31dc3552','UId':'943a903f-8f0c-48d3-9a7d-d0f797c51f06','Col':6,'Row':47,'Format':'numberic','Value':'4870272907','TargetCode':''}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{'SheetId':'519840a2-a532-4a80-b743-e4fe31dc3552','UId':'14ba2d4e-fc98-469f-8702-009a93d663bf','Col':4,'Row':48,'Format':'numberic','Value':'119315435368','TargetCode':''}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{'SheetId':'519840a2-a532-4a80-b743-e4fe31dc3552','UId':'46dc8404-c63b-42c5-af20-35a421a3b5ab','Col':5,'Row':48,'Format':'numberic','Value':'78860831410','TargetCode':''}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{'SheetId':'519840a2-a532-4a80-b743-e4fe31dc3552','UId':'a1137c7a-72fe-4907-952f-0a4daf353a5c','Col':6,'Row':48,'Format':'numberic','Value':'66260436320','TargetCode':''}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{'SheetId':'519840a2-a532-4a80-b743-e4fe31dc3552','UId':'ae182ae4-ecb8-4b3e-87b1-02fe2b8c8c6e','Col':4,'Row':49,'Format':'numberic','Value':'3169329786','TargetCode':''}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{'SheetId':'519840a2-a532-4a80-b743-e4fe31dc3552','UId':'c7c70708-3a08-4a71-8b5b-958036d28d83','Col':5,'Row':49,'Format':'numberic','Value':'40454603958','TargetCode':''}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{'SheetId':'519840a2-a532-4a80-b743-e4fe31dc3552','UId':'b56d1f06-ac4a-4581-bd76-0a7116bb9601','Col':6,'Row':49,'Format':'numberic','Value':'56224328833','TargetCode':''}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{'SheetId':'519840a2-a532-4a80-b743-e4fe31dc3552','UId':'da1428fc-0129-48bd-9cae-bcdc3527e7ff','Col':4,'Row':50,'Format':'numberic','Value':'1709732772','TargetCode':''}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{'SheetId':'519840a2-a532-4a80-b743-e4fe31dc3552','UId':'e59bf9b3-105f-46b2-a4c4-386837875fff','Col':5,'Row':50,'Format':'numberic','Value':'1170474046','TargetCode':''}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{'SheetId':'519840a2-a532-4a80-b743-e4fe31dc3552','UId':'190b7595-8f9e-458d-8990-f4ff2e021104','Col':6,'Row':50,'Format':'numberic','Value':'4870272907','TargetCode':''}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{'SheetId':'519840a2-a532-4a80-b743-e4fe31dc3552','UId':'a1e12271-7d9c-46e1-be1f-d3831e97dba6','Col':4,'Row':52,'Format':'numberic','Value':'1459597014','TargetCode':''}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{'SheetId':'519840a2-a532-4a80-b743-e4fe31dc3552','UId':'85d94755-db4c-439e-8336-6cbb28df62be','Col':5,'Row':52,'Format':'numberic','Value':'39284129912','TargetCode':''}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{'SheetId':'519840a2-a532-4a80-b743-e4fe31dc3552','UId':'d8a625ed-973b-4579-990b-8dd486f640c5','Col':6,'Row':52,'Format':'numberic','Value':'51354055926','TargetCode':''}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BCDanhMucDauTu_06029!A6),",'Row':",ROW(BCDanhMucDauTu_06029!A6),",","'ColDynamic':",COLUMN(BCDanhMucDauTu_06029!#REF!),",","'RowDynamic':",ROW(BCDanhMucDauTu_06029!#REF!),",","'Format':'string'",",'Value':'",SUBSTITUTE(BCDanhMucDauTu_06029!A6,"'","\'"),"','TargetCode':''}")</f>
        <v>#REF!</v>
      </c>
    </row>
    <row r="275" ht="12.75">
      <c r="A275" t="e">
        <f>CONCATENATE("{'SheetId':'b351068c-e4e3-4f57-bdcf-24c2ce0ff793'",",","'UId':'f2511281-2688-4070-be79-1d36cd04479b'",",'Col':",COLUMN(BCDanhMucDauTu_06029!B6),",'Row':",ROW(BCDanhMucDauTu_06029!B6),",","'ColDynamic':",COLUMN(BCDanhMucDauTu_06029!#REF!),",","'RowDynamic':",ROW(BCDanhMucDauTu_06029!#REF!),",","'Format':'string'",",'Value':'",SUBSTITUTE(BCDanhMucDauTu_06029!B6,"'","\'"),"','TargetCode':''}")</f>
        <v>#REF!</v>
      </c>
    </row>
    <row r="276" ht="12.75">
      <c r="A276" t="e">
        <f>CONCATENATE("{'SheetId':'b351068c-e4e3-4f57-bdcf-24c2ce0ff793'",",","'UId':'97f24634-5714-4012-9fe2-ba2cbed7eeaa'",",'Col':",COLUMN(BCDanhMucDauTu_06029!C6),",'Row':",ROW(BCDanhMucDauTu_06029!C6),",","'ColDynamic':",COLUMN(BCDanhMucDauTu_06029!#REF!),",","'RowDynamic':",ROW(BCDanhMucDauTu_06029!#REF!),",","'Format':'string'",",'Value':'",SUBSTITUTE(BCDanhMucDauTu_06029!C6,"'","\'"),"','TargetCode':''}")</f>
        <v>#REF!</v>
      </c>
    </row>
    <row r="277" ht="12.75">
      <c r="A277" t="e">
        <f>CONCATENATE("{'SheetId':'b351068c-e4e3-4f57-bdcf-24c2ce0ff793'",",","'UId':'7cf7a541-c1af-443f-b187-3cc623bb9abd'",",'Col':",COLUMN(BCDanhMucDauTu_06029!D6),",'Row':",ROW(BCDanhMucDauTu_06029!D6),",","'ColDynamic':",COLUMN(BCDanhMucDauTu_06029!#REF!),",","'RowDynamic':",ROW(BCDanhMucDauTu_06029!#REF!),",","'Format':'numberic'",",'Value':'",SUBSTITUTE(BCDanhMucDauTu_06029!D6,"'","\'"),"','TargetCode':''}")</f>
        <v>#REF!</v>
      </c>
    </row>
    <row r="278" ht="12.75">
      <c r="A278" t="e">
        <f>CONCATENATE("{'SheetId':'b351068c-e4e3-4f57-bdcf-24c2ce0ff793'",",","'UId':'c91a2ba4-4e3c-4b10-8f13-26606ae81908'",",'Col':",COLUMN(BCDanhMucDauTu_06029!E6),",'Row':",ROW(BCDanhMucDauTu_06029!E6),",","'ColDynamic':",COLUMN(BCDanhMucDauTu_06029!#REF!),",","'RowDynamic':",ROW(BCDanhMucDauTu_06029!#REF!),",","'Format':'numberic'",",'Value':'",SUBSTITUTE(BCDanhMucDauTu_06029!E6,"'","\'"),"','TargetCode':''}")</f>
        <v>#REF!</v>
      </c>
    </row>
    <row r="279" ht="12.75">
      <c r="A279" t="e">
        <f>CONCATENATE("{'SheetId':'b351068c-e4e3-4f57-bdcf-24c2ce0ff793'",",","'UId':'d702a5f4-7749-4e0e-a839-6c9408e37d18'",",'Col':",COLUMN(BCDanhMucDauTu_06029!F6),",'Row':",ROW(BCDanhMucDauTu_06029!F6),",","'ColDynamic':",COLUMN(BCDanhMucDauTu_06029!#REF!),",","'RowDynamic':",ROW(BCDanhMucDauTu_06029!#REF!),",","'Format':'numberic'",",'Value':'",SUBSTITUTE(BCDanhMucDauTu_06029!F6,"'","\'"),"','TargetCode':''}")</f>
        <v>#REF!</v>
      </c>
    </row>
    <row r="280" ht="12.75">
      <c r="A280" t="e">
        <f>CONCATENATE("{'SheetId':'b351068c-e4e3-4f57-bdcf-24c2ce0ff793'",",","'UId':'6bffd512-931b-47bb-8be2-63d441dd5920'",",'Col':",COLUMN(BCDanhMucDauTu_06029!G6),",'Row':",ROW(BCDanhMucDauTu_06029!G6),",","'ColDynamic':",COLUMN(BCDanhMucDauTu_06029!#REF!),",","'RowDynamic':",ROW(BCDanhMucDauTu_06029!#REF!),",","'Format':'numberic'",",'Value':'",SUBSTITUTE(BCDanhMucDauTu_06029!G6,"'","\'"),"','TargetCode':''}")</f>
        <v>#REF!</v>
      </c>
    </row>
    <row r="281" ht="12.75">
      <c r="A281" t="str">
        <f>CONCATENATE("{'SheetId':'b351068c-e4e3-4f57-bdcf-24c2ce0ff793'",",","'UId':'508a0525-a3f2-4bfe-9e2e-9eefd2d0f393'",",'Col':",COLUMN(BCDanhMucDauTu_06029!D7),",'Row':",ROW(BCDanhMucDauTu_06029!D7),",","'Format':'numberic'",",'Value':'",SUBSTITUTE(BCDanhMucDauTu_06029!D7,"'","\'"),"','TargetCode':''}")</f>
        <v>{'SheetId':'b351068c-e4e3-4f57-bdcf-24c2ce0ff793','UId':'508a0525-a3f2-4bfe-9e2e-9eefd2d0f393','Col':4,'Row':7,'Format':'numberic','Value':'30000','TargetCode':''}</v>
      </c>
    </row>
    <row r="282" ht="12.75">
      <c r="A282" t="str">
        <f>CONCATENATE("{'SheetId':'b351068c-e4e3-4f57-bdcf-24c2ce0ff793'",",","'UId':'593fc040-0bb3-4550-8d38-c05ecb047431'",",'Col':",COLUMN(BCDanhMucDauTu_06029!E7),",'Row':",ROW(BCDanhMucDauTu_06029!E7),",","'Format':'numberic'",",'Value':'",SUBSTITUTE(BCDanhMucDauTu_06029!E7,"'","\'"),"','TargetCode':''}")</f>
        <v>{'SheetId':'b351068c-e4e3-4f57-bdcf-24c2ce0ff793','UId':'593fc040-0bb3-4550-8d38-c05ecb047431','Col':5,'Row':7,'Format':'numberic','Value':'52900','TargetCode':''}</v>
      </c>
    </row>
    <row r="283" ht="12.75">
      <c r="A283" t="str">
        <f>CONCATENATE("{'SheetId':'b351068c-e4e3-4f57-bdcf-24c2ce0ff793'",",","'UId':'539fc2ef-6579-4392-865c-3191779dc7ff'",",'Col':",COLUMN(BCDanhMucDauTu_06029!F7),",'Row':",ROW(BCDanhMucDauTu_06029!F7),",","'Format':'numberic'",",'Value':'",SUBSTITUTE(BCDanhMucDauTu_06029!F7,"'","\'"),"','TargetCode':''}")</f>
        <v>{'SheetId':'b351068c-e4e3-4f57-bdcf-24c2ce0ff793','UId':'539fc2ef-6579-4392-865c-3191779dc7ff','Col':6,'Row':7,'Format':'numberic','Value':'1587000000','TargetCode':''}</v>
      </c>
    </row>
    <row r="284" ht="12.75">
      <c r="A284" t="str">
        <f>CONCATENATE("{'SheetId':'b351068c-e4e3-4f57-bdcf-24c2ce0ff793'",",","'UId':'d845e489-1201-4608-bf4a-4ed272602642'",",'Col':",COLUMN(BCDanhMucDauTu_06029!G7),",'Row':",ROW(BCDanhMucDauTu_06029!G7),",","'Format':'numberic'",",'Value':'",SUBSTITUTE(BCDanhMucDauTu_06029!G7,"'","\'"),"','TargetCode':''}")</f>
        <v>{'SheetId':'b351068c-e4e3-4f57-bdcf-24c2ce0ff793','UId':'d845e489-1201-4608-bf4a-4ed272602642','Col':7,'Row':7,'Format':'numberic','Value':'0.0128784467471865','TargetCode':''}</v>
      </c>
    </row>
    <row r="285" ht="12.75">
      <c r="A285" t="e">
        <f>CONCATENATE("{'SheetId':'b351068c-e4e3-4f57-bdcf-24c2ce0ff793'",",","'UId':'1e992cf2-7118-4214-a559-0195c8884aea'",",'Col':",COLUMN(BCDanhMucDauTu_06029!A10),",'Row':",ROW(BCDanhMucDauTu_06029!A10),",","'ColDynamic':",COLUMN(BCDanhMucDauTu_06029!#REF!),",","'RowDynamic':",ROW(BCDanhMucDauTu_06029!#REF!),",","'Format':'numberic'",",'Value':'",SUBSTITUTE(BCDanhMucDauTu_06029!A10,"'","\'"),"','TargetCode':''}")</f>
        <v>#REF!</v>
      </c>
    </row>
    <row r="286" ht="12.75">
      <c r="A286" t="e">
        <f>CONCATENATE("{'SheetId':'b351068c-e4e3-4f57-bdcf-24c2ce0ff793'",",","'UId':'4f882b80-9e4d-4d19-8537-405badf59571'",",'Col':",COLUMN(BCDanhMucDauTu_06029!B10),",'Row':",ROW(BCDanhMucDauTu_06029!B10),",","'ColDynamic':",COLUMN(BCDanhMucDauTu_06029!#REF!),",","'RowDynamic':",ROW(BCDanhMucDauTu_06029!#REF!),",","'Format':'string'",",'Value':'",SUBSTITUTE(BCDanhMucDauTu_06029!B10,"'","\'"),"','TargetCode':''}")</f>
        <v>#REF!</v>
      </c>
    </row>
    <row r="287" ht="12.75">
      <c r="A287" t="e">
        <f>CONCATENATE("{'SheetId':'b351068c-e4e3-4f57-bdcf-24c2ce0ff793'",",","'UId':'5250f607-5010-4670-bb67-dda35efb42cd'",",'Col':",COLUMN(BCDanhMucDauTu_06029!C10),",'Row':",ROW(BCDanhMucDauTu_06029!C10),",","'ColDynamic':",COLUMN(BCDanhMucDauTu_06029!#REF!),",","'RowDynamic':",ROW(BCDanhMucDauTu_06029!#REF!),",","'Format':'numberic'",",'Value':'",SUBSTITUTE(BCDanhMucDauTu_06029!C10,"'","\'"),"','TargetCode':''}")</f>
        <v>#REF!</v>
      </c>
    </row>
    <row r="288" ht="12.75">
      <c r="A288" t="e">
        <f>CONCATENATE("{'SheetId':'b351068c-e4e3-4f57-bdcf-24c2ce0ff793'",",","'UId':'428c865a-7282-4f58-bc89-20f1b0217190'",",'Col':",COLUMN(BCDanhMucDauTu_06029!D10),",'Row':",ROW(BCDanhMucDauTu_06029!D10),",","'ColDynamic':",COLUMN(BCDanhMucDauTu_06029!#REF!),",","'RowDynamic':",ROW(BCDanhMucDauTu_06029!#REF!),",","'Format':'numberic'",",'Value':'",SUBSTITUTE(BCDanhMucDauTu_06029!D10,"'","\'"),"','TargetCode':''}")</f>
        <v>#REF!</v>
      </c>
    </row>
    <row r="289" ht="12.75">
      <c r="A289" t="e">
        <f>CONCATENATE("{'SheetId':'b351068c-e4e3-4f57-bdcf-24c2ce0ff793'",",","'UId':'9592905c-7577-459a-bf73-e7d1733cf17a'",",'Col':",COLUMN(BCDanhMucDauTu_06029!E10),",'Row':",ROW(BCDanhMucDauTu_06029!E10),",","'ColDynamic':",COLUMN(BCDanhMucDauTu_06029!#REF!),",","'RowDynamic':",ROW(BCDanhMucDauTu_06029!#REF!),",","'Format':'numberic'",",'Value':'",SUBSTITUTE(BCDanhMucDauTu_06029!E10,"'","\'"),"','TargetCode':''}")</f>
        <v>#REF!</v>
      </c>
    </row>
    <row r="290" ht="12.75">
      <c r="A290" t="e">
        <f>CONCATENATE("{'SheetId':'b351068c-e4e3-4f57-bdcf-24c2ce0ff793'",",","'UId':'a9e4466a-def7-4534-a075-0e61b1888eec'",",'Col':",COLUMN(BCDanhMucDauTu_06029!F10),",'Row':",ROW(BCDanhMucDauTu_06029!F10),",","'ColDynamic':",COLUMN(BCDanhMucDauTu_06029!#REF!),",","'RowDynamic':",ROW(BCDanhMucDauTu_06029!#REF!),",","'Format':'numberic'",",'Value':'",SUBSTITUTE(BCDanhMucDauTu_06029!F10,"'","\'"),"','TargetCode':''}")</f>
        <v>#REF!</v>
      </c>
    </row>
    <row r="291" ht="12.75">
      <c r="A291" t="e">
        <f>CONCATENATE("{'SheetId':'b351068c-e4e3-4f57-bdcf-24c2ce0ff793'",",","'UId':'13379930-3d0b-4576-86a6-aee55aa73fef'",",'Col':",COLUMN(BCDanhMucDauTu_06029!G10),",'Row':",ROW(BCDanhMucDauTu_06029!G10),",","'ColDynamic':",COLUMN(BCDanhMucDauTu_06029!#REF!),",","'RowDynamic':",ROW(BCDanhMucDauTu_06029!#REF!),",","'Format':'numberic'",",'Value':'",SUBSTITUTE(BCDanhMucDauTu_06029!G10,"'","\'"),"','TargetCode':''}")</f>
        <v>#REF!</v>
      </c>
    </row>
    <row r="292" ht="12.75">
      <c r="A292" t="str">
        <f>CONCATENATE("{'SheetId':'b351068c-e4e3-4f57-bdcf-24c2ce0ff793'",",","'UId':'17931870-911c-4fad-afd5-7ec649ba087b'",",'Col':",COLUMN(BCDanhMucDauTu_06029!D11),",'Row':",ROW(BCDanhMucDauTu_06029!D11),",","'Format':'numberic'",",'Value':'",SUBSTITUTE(BCDanhMucDauTu_06029!D11,"'","\'"),"','TargetCode':''}")</f>
        <v>{'SheetId':'b351068c-e4e3-4f57-bdcf-24c2ce0ff793','UId':'17931870-911c-4fad-afd5-7ec649ba087b','Col':4,'Row':11,'Format':'numberic','Value':'93610','TargetCode':''}</v>
      </c>
    </row>
    <row r="293" ht="12.75">
      <c r="A293" t="str">
        <f>CONCATENATE("{'SheetId':'b351068c-e4e3-4f57-bdcf-24c2ce0ff793'",",","'UId':'8e29656a-72a1-4698-a2d4-ab43c77220a4'",",'Col':",COLUMN(BCDanhMucDauTu_06029!E11),",'Row':",ROW(BCDanhMucDauTu_06029!E11),",","'Format':'numberic'",",'Value':'",SUBSTITUTE(BCDanhMucDauTu_06029!E11,"'","\'"),"','TargetCode':''}")</f>
        <v>{'SheetId':'b351068c-e4e3-4f57-bdcf-24c2ce0ff793','UId':'8e29656a-72a1-4698-a2d4-ab43c77220a4','Col':5,'Row':11,'Format':'numberic','Value':'','TargetCode':''}</v>
      </c>
    </row>
    <row r="294" ht="12.75">
      <c r="A294" t="str">
        <f>CONCATENATE("{'SheetId':'b351068c-e4e3-4f57-bdcf-24c2ce0ff793'",",","'UId':'5fe96b01-5f18-4f07-ac34-11fa669457a4'",",'Col':",COLUMN(BCDanhMucDauTu_06029!F11),",'Row':",ROW(BCDanhMucDauTu_06029!F11),",","'Format':'numberic'",",'Value':'",SUBSTITUTE(BCDanhMucDauTu_06029!F11,"'","\'"),"','TargetCode':''}")</f>
        <v>{'SheetId':'b351068c-e4e3-4f57-bdcf-24c2ce0ff793','UId':'5fe96b01-5f18-4f07-ac34-11fa669457a4','Col':6,'Row':11,'Format':'numberic','Value':'7551078500','TargetCode':''}</v>
      </c>
    </row>
    <row r="295" ht="12.75">
      <c r="A295" t="str">
        <f>CONCATENATE("{'SheetId':'b351068c-e4e3-4f57-bdcf-24c2ce0ff793'",",","'UId':'9d206dcc-b016-47b5-a344-791067be02d5'",",'Col':",COLUMN(BCDanhMucDauTu_06029!G11),",'Row':",ROW(BCDanhMucDauTu_06029!G11),",","'Format':'numberic'",",'Value':'",SUBSTITUTE(BCDanhMucDauTu_06029!G11,"'","\'"),"','TargetCode':''}")</f>
        <v>{'SheetId':'b351068c-e4e3-4f57-bdcf-24c2ce0ff793','UId':'9d206dcc-b016-47b5-a344-791067be02d5','Col':7,'Row':11,'Format':'numberic','Value':'0.0612767248557497','TargetCode':''}</v>
      </c>
    </row>
    <row r="296" ht="12.75">
      <c r="A296" t="str">
        <f>CONCATENATE("{'SheetId':'b351068c-e4e3-4f57-bdcf-24c2ce0ff793'",",","'UId':'d149d88b-77fb-4541-8798-63154426abc2'",",'Col':",COLUMN(BCDanhMucDauTu_06029!A14),",'Row':",ROW(BCDanhMucDauTu_06029!A14),",","'ColDynamic':",COLUMN(BCDanhMucDauTu_06029!A11),",","'RowDynamic':",ROW(BCDanhMucDauTu_06029!A11),",","'Format':'numberic'",",'Value':'",SUBSTITUTE(BCDanhMucDauTu_06029!A14,"'","\'"),"','TargetCode':''}")</f>
        <v>{'SheetId':'b351068c-e4e3-4f57-bdcf-24c2ce0ff793','UId':'d149d88b-77fb-4541-8798-63154426abc2','Col':1,'Row':14,'ColDynamic':1,'RowDynamic':11,'Format':'numberic','Value':'','TargetCode':''}</v>
      </c>
    </row>
    <row r="297" ht="12.75">
      <c r="A297" t="str">
        <f>CONCATENATE("{'SheetId':'b351068c-e4e3-4f57-bdcf-24c2ce0ff793'",",","'UId':'63355adb-73ff-4fd6-a4ee-6353f3830628'",",'Col':",COLUMN(BCDanhMucDauTu_06029!B14),",'Row':",ROW(BCDanhMucDauTu_06029!B14),",","'ColDynamic':",COLUMN(BCDanhMucDauTu_06029!B11),",","'RowDynamic':",ROW(BCDanhMucDauTu_06029!B11),",","'Format':'string'",",'Value':'",SUBSTITUTE(BCDanhMucDauTu_06029!B14,"'","\'"),"','TargetCode':''}")</f>
        <v>{'SheetId':'b351068c-e4e3-4f57-bdcf-24c2ce0ff793','UId':'63355adb-73ff-4fd6-a4ee-6353f3830628','Col':2,'Row':14,'ColDynamic':2,'RowDynamic':11,'Format':'string','Value':'Tổng
Total','TargetCode':''}</v>
      </c>
    </row>
    <row r="298" ht="12.75">
      <c r="A298" t="str">
        <f>CONCATENATE("{'SheetId':'b351068c-e4e3-4f57-bdcf-24c2ce0ff793'",",","'UId':'34e26121-8d4b-46bb-836d-3cc1913c6909'",",'Col':",COLUMN(BCDanhMucDauTu_06029!C14),",'Row':",ROW(BCDanhMucDauTu_06029!C14),",","'ColDynamic':",COLUMN(BCDanhMucDauTu_06029!C11),",","'RowDynamic':",ROW(BCDanhMucDauTu_06029!C11),",","'Format':'numberic'",",'Value':'",SUBSTITUTE(BCDanhMucDauTu_06029!C14,"'","\'"),"','TargetCode':''}")</f>
        <v>{'SheetId':'b351068c-e4e3-4f57-bdcf-24c2ce0ff793','UId':'34e26121-8d4b-46bb-836d-3cc1913c6909','Col':3,'Row':14,'ColDynamic':3,'RowDynamic':11,'Format':'numberic','Value':'2249','TargetCode':''}</v>
      </c>
    </row>
    <row r="299" ht="12.75">
      <c r="A299" t="str">
        <f>CONCATENATE("{'SheetId':'b351068c-e4e3-4f57-bdcf-24c2ce0ff793'",",","'UId':'dcb7503a-9941-4910-9dba-c04cd291c91d'",",'Col':",COLUMN(BCDanhMucDauTu_06029!D14),",'Row':",ROW(BCDanhMucDauTu_06029!D14),",","'ColDynamic':",COLUMN(BCDanhMucDauTu_06029!D11),",","'RowDynamic':",ROW(BCDanhMucDauTu_06029!D11),",","'Format':'numberic'",",'Value':'",SUBSTITUTE(BCDanhMucDauTu_06029!D14,"'","\'"),"','TargetCode':''}")</f>
        <v>{'SheetId':'b351068c-e4e3-4f57-bdcf-24c2ce0ff793','UId':'dcb7503a-9941-4910-9dba-c04cd291c91d','Col':4,'Row':14,'ColDynamic':4,'RowDynamic':11,'Format':'numberic','Value':'','TargetCode':''}</v>
      </c>
    </row>
    <row r="300" ht="12.75">
      <c r="A300" t="str">
        <f>CONCATENATE("{'SheetId':'b351068c-e4e3-4f57-bdcf-24c2ce0ff793'",",","'UId':'9ff33d6c-3426-46f5-98c3-f1cc3c6c563e'",",'Col':",COLUMN(BCDanhMucDauTu_06029!E14),",'Row':",ROW(BCDanhMucDauTu_06029!E14),",","'ColDynamic':",COLUMN(BCDanhMucDauTu_06029!E11),",","'RowDynamic':",ROW(BCDanhMucDauTu_06029!E11),",","'Format':'numberic'",",'Value':'",SUBSTITUTE(BCDanhMucDauTu_06029!E14,"'","\'"),"','TargetCode':''}")</f>
        <v>{'SheetId':'b351068c-e4e3-4f57-bdcf-24c2ce0ff793','UId':'9ff33d6c-3426-46f5-98c3-f1cc3c6c563e','Col':5,'Row':14,'ColDynamic':5,'RowDynamic':11,'Format':'numberic','Value':'','TargetCode':''}</v>
      </c>
    </row>
    <row r="301" ht="12.75">
      <c r="A301" t="str">
        <f>CONCATENATE("{'SheetId':'b351068c-e4e3-4f57-bdcf-24c2ce0ff793'",",","'UId':'196bc559-44ca-4c84-bc88-37e0b2b7c0ca'",",'Col':",COLUMN(BCDanhMucDauTu_06029!F14),",'Row':",ROW(BCDanhMucDauTu_06029!F14),",","'ColDynamic':",COLUMN(BCDanhMucDauTu_06029!F11),",","'RowDynamic':",ROW(BCDanhMucDauTu_06029!F11),",","'Format':'numberic'",",'Value':'",SUBSTITUTE(BCDanhMucDauTu_06029!F14,"'","\'"),"','TargetCode':''}")</f>
        <v>{'SheetId':'b351068c-e4e3-4f57-bdcf-24c2ce0ff793','UId':'196bc559-44ca-4c84-bc88-37e0b2b7c0ca','Col':6,'Row':14,'ColDynamic':6,'RowDynamic':11,'Format':'numberic','Value':'','TargetCode':''}</v>
      </c>
    </row>
    <row r="302" ht="12.75">
      <c r="A302" t="str">
        <f>CONCATENATE("{'SheetId':'b351068c-e4e3-4f57-bdcf-24c2ce0ff793'",",","'UId':'76830a4a-49b3-4200-8f4c-2ccbb1a8164a'",",'Col':",COLUMN(BCDanhMucDauTu_06029!G14),",'Row':",ROW(BCDanhMucDauTu_06029!G14),",","'ColDynamic':",COLUMN(BCDanhMucDauTu_06029!G11),",","'RowDynamic':",ROW(BCDanhMucDauTu_06029!G11),",","'Format':'numberic'",",'Value':'",SUBSTITUTE(BCDanhMucDauTu_06029!G14,"'","\'"),"','TargetCode':''}")</f>
        <v>{'SheetId':'b351068c-e4e3-4f57-bdcf-24c2ce0ff793','UId':'76830a4a-49b3-4200-8f4c-2ccbb1a8164a','Col':7,'Row':14,'ColDynamic':7,'RowDynamic':11,'Format':'numberic','Value':'0','TargetCode':''}</v>
      </c>
    </row>
    <row r="303" ht="12.75">
      <c r="A303" t="str">
        <f>CONCATENATE("{'SheetId':'b351068c-e4e3-4f57-bdcf-24c2ce0ff793'",",","'UId':'c5e58da8-6303-4f4b-8cfb-be632ed7700b'",",'Col':",COLUMN(BCDanhMucDauTu_06029!D15),",'Row':",ROW(BCDanhMucDauTu_06029!D15),",","'Format':'numberic'",",'Value':'",SUBSTITUTE(BCDanhMucDauTu_06029!D15,"'","\'"),"','TargetCode':''}")</f>
        <v>{'SheetId':'b351068c-e4e3-4f57-bdcf-24c2ce0ff793','UId':'c5e58da8-6303-4f4b-8cfb-be632ed7700b','Col':4,'Row':15,'Format':'numberic','Value':'','TargetCode':''}</v>
      </c>
    </row>
    <row r="304" ht="12.75">
      <c r="A304" t="str">
        <f>CONCATENATE("{'SheetId':'b351068c-e4e3-4f57-bdcf-24c2ce0ff793'",",","'UId':'00ea0783-aace-414b-8975-b7b78127300d'",",'Col':",COLUMN(BCDanhMucDauTu_06029!E15),",'Row':",ROW(BCDanhMucDauTu_06029!E15),",","'Format':'numberic'",",'Value':'",SUBSTITUTE(BCDanhMucDauTu_06029!E15,"'","\'"),"','TargetCode':''}")</f>
        <v>{'SheetId':'b351068c-e4e3-4f57-bdcf-24c2ce0ff793','UId':'00ea0783-aace-414b-8975-b7b78127300d','Col':5,'Row':15,'Format':'numberic','Value':'','TargetCode':''}</v>
      </c>
    </row>
    <row r="305" ht="12.75">
      <c r="A305" t="str">
        <f>CONCATENATE("{'SheetId':'b351068c-e4e3-4f57-bdcf-24c2ce0ff793'",",","'UId':'399d8c6f-4901-44ca-8111-9e12f616c487'",",'Col':",COLUMN(BCDanhMucDauTu_06029!F15),",'Row':",ROW(BCDanhMucDauTu_06029!F15),",","'Format':'numberic'",",'Value':'",SUBSTITUTE(BCDanhMucDauTu_06029!F15,"'","\'"),"','TargetCode':''}")</f>
        <v>{'SheetId':'b351068c-e4e3-4f57-bdcf-24c2ce0ff793','UId':'399d8c6f-4901-44ca-8111-9e12f616c487','Col':6,'Row':15,'Format':'numberic','Value':'','TargetCode':''}</v>
      </c>
    </row>
    <row r="306" ht="12.75">
      <c r="A306" t="str">
        <f>CONCATENATE("{'SheetId':'b351068c-e4e3-4f57-bdcf-24c2ce0ff793'",",","'UId':'2cdda7fd-cb87-47da-8e30-06a3709bd609'",",'Col':",COLUMN(BCDanhMucDauTu_06029!G15),",'Row':",ROW(BCDanhMucDauTu_06029!G15),",","'Format':'numberic'",",'Value':'",SUBSTITUTE(BCDanhMucDauTu_06029!G15,"'","\'"),"','TargetCode':''}")</f>
        <v>{'SheetId':'b351068c-e4e3-4f57-bdcf-24c2ce0ff793','UId':'2cdda7fd-cb87-47da-8e30-06a3709bd609','Col':7,'Row':15,'Format':'numberic','Value':'0','TargetCode':''}</v>
      </c>
    </row>
    <row r="307" ht="12.75">
      <c r="A307" t="e">
        <f>CONCATENATE("{'SheetId':'b351068c-e4e3-4f57-bdcf-24c2ce0ff793'",",","'UId':'b8c20cc2-e76a-461c-ace9-e83abfcc1775'",",'Col':",COLUMN(BCDanhMucDauTu_06029!#REF!),",'Row':",ROW(BCDanhMucDauTu_06029!#REF!),",","'ColDynamic':",COLUMN(BCDanhMucDauTu_06029!A23),",","'RowDynamic':",ROW(BCDanhMucDauTu_06029!A23),",","'Format':'numberic'",",'Value':'",SUBSTITUTE(BCDanhMucDauTu_06029!#REF!,"'","\'"),"','TargetCode':''}")</f>
        <v>#REF!</v>
      </c>
    </row>
    <row r="308" ht="12.75">
      <c r="A308" t="e">
        <f>CONCATENATE("{'SheetId':'b351068c-e4e3-4f57-bdcf-24c2ce0ff793'",",","'UId':'e6fa0887-9c0a-49b1-a5d5-d55f5bee7d17'",",'Col':",COLUMN(BCDanhMucDauTu_06029!#REF!),",'Row':",ROW(BCDanhMucDauTu_06029!#REF!),",","'ColDynamic':",COLUMN(BCDanhMucDauTu_06029!B23),",","'RowDynamic':",ROW(BCDanhMucDauTu_06029!B23),",","'Format':'string'",",'Value':'",SUBSTITUTE(BCDanhMucDauTu_06029!#REF!,"'","\'"),"','TargetCode':''}")</f>
        <v>#REF!</v>
      </c>
    </row>
    <row r="309" ht="12.75">
      <c r="A309" t="e">
        <f>CONCATENATE("{'SheetId':'b351068c-e4e3-4f57-bdcf-24c2ce0ff793'",",","'UId':'6a029111-438c-4c2c-a425-15433a16ea47'",",'Col':",COLUMN(BCDanhMucDauTu_06029!#REF!),",'Row':",ROW(BCDanhMucDauTu_06029!#REF!),",","'ColDynamic':",COLUMN(BCDanhMucDauTu_06029!C23),",","'RowDynamic':",ROW(BCDanhMucDauTu_06029!C23),",","'Format':'numberic'",",'Value':'",SUBSTITUTE(BCDanhMucDauTu_06029!#REF!,"'","\'"),"','TargetCode':''}")</f>
        <v>#REF!</v>
      </c>
    </row>
    <row r="310" ht="12.75">
      <c r="A310" t="e">
        <f>CONCATENATE("{'SheetId':'b351068c-e4e3-4f57-bdcf-24c2ce0ff793'",",","'UId':'2af5b400-8abe-46e3-8b64-7efb4d13db84'",",'Col':",COLUMN(BCDanhMucDauTu_06029!#REF!),",'Row':",ROW(BCDanhMucDauTu_06029!#REF!),",","'ColDynamic':",COLUMN(BCDanhMucDauTu_06029!D23),",","'RowDynamic':",ROW(BCDanhMucDauTu_06029!D23),",","'Format':'numberic'",",'Value':'",SUBSTITUTE(BCDanhMucDauTu_06029!#REF!,"'","\'"),"','TargetCode':''}")</f>
        <v>#REF!</v>
      </c>
    </row>
    <row r="311" ht="12.75">
      <c r="A311" t="e">
        <f>CONCATENATE("{'SheetId':'b351068c-e4e3-4f57-bdcf-24c2ce0ff793'",",","'UId':'142640d6-6a87-400c-bc3e-fd34124b8a95'",",'Col':",COLUMN(BCDanhMucDauTu_06029!#REF!),",'Row':",ROW(BCDanhMucDauTu_06029!#REF!),",","'ColDynamic':",COLUMN(BCDanhMucDauTu_06029!E23),",","'RowDynamic':",ROW(BCDanhMucDauTu_06029!E23),",","'Format':'numberic'",",'Value':'",SUBSTITUTE(BCDanhMucDauTu_06029!#REF!,"'","\'"),"','TargetCode':''}")</f>
        <v>#REF!</v>
      </c>
    </row>
    <row r="312" ht="12.75">
      <c r="A312" t="e">
        <f>CONCATENATE("{'SheetId':'b351068c-e4e3-4f57-bdcf-24c2ce0ff793'",",","'UId':'a4748164-33b9-46bd-8561-e8b3f76700ee'",",'Col':",COLUMN(BCDanhMucDauTu_06029!#REF!),",'Row':",ROW(BCDanhMucDauTu_06029!#REF!),",","'ColDynamic':",COLUMN(BCDanhMucDauTu_06029!F23),",","'RowDynamic':",ROW(BCDanhMucDauTu_06029!F23),",","'Format':'numberic'",",'Value':'",SUBSTITUTE(BCDanhMucDauTu_06029!#REF!,"'","\'"),"','TargetCode':''}")</f>
        <v>#REF!</v>
      </c>
    </row>
    <row r="313" ht="12.75">
      <c r="A313" t="e">
        <f>CONCATENATE("{'SheetId':'b351068c-e4e3-4f57-bdcf-24c2ce0ff793'",",","'UId':'8b15b2dd-95b7-4075-8cb9-63831db4f74a'",",'Col':",COLUMN(BCDanhMucDauTu_06029!#REF!),",'Row':",ROW(BCDanhMucDauTu_06029!#REF!),",","'ColDynamic':",COLUMN(BCDanhMucDauTu_06029!G23),",","'RowDynamic':",ROW(BCDanhMucDauTu_06029!G23),",","'Format':'numberic'",",'Value':'",SUBSTITUTE(BCDanhMucDauTu_06029!#REF!,"'","\'"),"','TargetCode':''}")</f>
        <v>#REF!</v>
      </c>
    </row>
    <row r="314" ht="12.75">
      <c r="A314" t="str">
        <f>CONCATENATE("{'SheetId':'b351068c-e4e3-4f57-bdcf-24c2ce0ff793'",",","'UId':'fe496e11-6071-47ac-9042-fb59341ce9d3'",",'Col':",COLUMN(BCDanhMucDauTu_06029!D23),",'Row':",ROW(BCDanhMucDauTu_06029!D23),",","'Format':'numberic'",",'Value':'",SUBSTITUTE(BCDanhMucDauTu_06029!D23,"'","\'"),"','TargetCode':''}")</f>
        <v>{'SheetId':'b351068c-e4e3-4f57-bdcf-24c2ce0ff793','UId':'fe496e11-6071-47ac-9042-fb59341ce9d3','Col':4,'Row':23,'Format':'numberic','Value':'115599','TargetCode':''}</v>
      </c>
    </row>
    <row r="315" ht="12.75">
      <c r="A315" t="str">
        <f>CONCATENATE("{'SheetId':'b351068c-e4e3-4f57-bdcf-24c2ce0ff793'",",","'UId':'8f08a933-d633-4287-845a-9819dc196996'",",'Col':",COLUMN(BCDanhMucDauTu_06029!E23),",'Row':",ROW(BCDanhMucDauTu_06029!E23),",","'Format':'numberic'",",'Value':'",SUBSTITUTE(BCDanhMucDauTu_06029!E23,"'","\'"),"','TargetCode':''}")</f>
        <v>{'SheetId':'b351068c-e4e3-4f57-bdcf-24c2ce0ff793','UId':'8f08a933-d633-4287-845a-9819dc196996','Col':5,'Row':23,'Format':'numberic','Value':'','TargetCode':''}</v>
      </c>
    </row>
    <row r="316" ht="12.75">
      <c r="A316" t="str">
        <f>CONCATENATE("{'SheetId':'b351068c-e4e3-4f57-bdcf-24c2ce0ff793'",",","'UId':'dad551f4-82a6-49f9-9019-06cb4c328a89'",",'Col':",COLUMN(BCDanhMucDauTu_06029!F23),",'Row':",ROW(BCDanhMucDauTu_06029!F23),",","'Format':'numberic'",",'Value':'",SUBSTITUTE(BCDanhMucDauTu_06029!F23,"'","\'"),"','TargetCode':''}")</f>
        <v>{'SheetId':'b351068c-e4e3-4f57-bdcf-24c2ce0ff793','UId':'dad551f4-82a6-49f9-9019-06cb4c328a89','Col':6,'Row':23,'Format':'numberic','Value':'20606432212','TargetCode':''}</v>
      </c>
    </row>
    <row r="317" ht="12.75">
      <c r="A317" t="str">
        <f>CONCATENATE("{'SheetId':'b351068c-e4e3-4f57-bdcf-24c2ce0ff793'",",","'UId':'7bf94847-0bfe-4d96-ab7a-1ce79d9343f5'",",'Col':",COLUMN(BCDanhMucDauTu_06029!G23),",'Row':",ROW(BCDanhMucDauTu_06029!G23),",","'Format':'numberic'",",'Value':'",SUBSTITUTE(BCDanhMucDauTu_06029!G23,"'","\'"),"','TargetCode':''}")</f>
        <v>{'SheetId':'b351068c-e4e3-4f57-bdcf-24c2ce0ff793','UId':'7bf94847-0bfe-4d96-ab7a-1ce79d9343f5','Col':7,'Row':23,'Format':'numberic','Value':'0.167220441015596','TargetCode':''}</v>
      </c>
    </row>
    <row r="318" ht="12.75">
      <c r="A318" t="e">
        <f>CONCATENATE("{'SheetId':'b351068c-e4e3-4f57-bdcf-24c2ce0ff793'",",","'UId':'55eed474-1147-4da3-9086-9e821874c0a4'",",'Col':",COLUMN(BCDanhMucDauTu_06029!A24),",'Row':",ROW(BCDanhMucDauTu_06029!A24),",","'ColDynamic':",COLUMN(BCDanhMucDauTu_06029!#REF!),",","'RowDynamic':",ROW(BCDanhMucDauTu_06029!#REF!),",","'Format':'numberic'",",'Value':'",SUBSTITUTE(BCDanhMucDauTu_06029!A24,"'","\'"),"','TargetCode':''}")</f>
        <v>#REF!</v>
      </c>
    </row>
    <row r="319" ht="12.75">
      <c r="A319" t="e">
        <f>CONCATENATE("{'SheetId':'b351068c-e4e3-4f57-bdcf-24c2ce0ff793'",",","'UId':'1c32b7bf-2ca1-44a0-8279-a8f01d6b7249'",",'Col':",COLUMN(BCDanhMucDauTu_06029!B24),",'Row':",ROW(BCDanhMucDauTu_06029!B24),",","'ColDynamic':",COLUMN(BCDanhMucDauTu_06029!#REF!),",","'RowDynamic':",ROW(BCDanhMucDauTu_06029!#REF!),",","'Format':'string'",",'Value':'",SUBSTITUTE(BCDanhMucDauTu_06029!B24,"'","\'"),"','TargetCode':''}")</f>
        <v>#REF!</v>
      </c>
    </row>
    <row r="320" ht="12.75">
      <c r="A320" t="e">
        <f>CONCATENATE("{'SheetId':'b351068c-e4e3-4f57-bdcf-24c2ce0ff793'",",","'UId':'f6a0865a-7cc4-4bd5-9c41-171ccfbe8908'",",'Col':",COLUMN(BCDanhMucDauTu_06029!C24),",'Row':",ROW(BCDanhMucDauTu_06029!C24),",","'ColDynamic':",COLUMN(BCDanhMucDauTu_06029!#REF!),",","'RowDynamic':",ROW(BCDanhMucDauTu_06029!#REF!),",","'Format':'numberic'",",'Value':'",SUBSTITUTE(BCDanhMucDauTu_06029!C24,"'","\'"),"','TargetCode':''}")</f>
        <v>#REF!</v>
      </c>
    </row>
    <row r="321" ht="12.75">
      <c r="A321" t="e">
        <f>CONCATENATE("{'SheetId':'b351068c-e4e3-4f57-bdcf-24c2ce0ff793'",",","'UId':'26677bc1-4784-4b02-a8da-eb1a17958c29'",",'Col':",COLUMN(BCDanhMucDauTu_06029!D24),",'Row':",ROW(BCDanhMucDauTu_06029!D24),",","'ColDynamic':",COLUMN(BCDanhMucDauTu_06029!#REF!),",","'RowDynamic':",ROW(BCDanhMucDauTu_06029!#REF!),",","'Format':'numberic'",",'Value':'",SUBSTITUTE(BCDanhMucDauTu_06029!D24,"'","\'"),"','TargetCode':''}")</f>
        <v>#REF!</v>
      </c>
    </row>
    <row r="322" ht="12.75">
      <c r="A322" t="e">
        <f>CONCATENATE("{'SheetId':'b351068c-e4e3-4f57-bdcf-24c2ce0ff793'",",","'UId':'8088aec8-68fc-443f-8fce-4f1788e831ff'",",'Col':",COLUMN(BCDanhMucDauTu_06029!E24),",'Row':",ROW(BCDanhMucDauTu_06029!E24),",","'ColDynamic':",COLUMN(BCDanhMucDauTu_06029!#REF!),",","'RowDynamic':",ROW(BCDanhMucDauTu_06029!#REF!),",","'Format':'numberic'",",'Value':'",SUBSTITUTE(BCDanhMucDauTu_06029!E24,"'","\'"),"','TargetCode':''}")</f>
        <v>#REF!</v>
      </c>
    </row>
    <row r="323" ht="12.75">
      <c r="A323" t="e">
        <f>CONCATENATE("{'SheetId':'b351068c-e4e3-4f57-bdcf-24c2ce0ff793'",",","'UId':'109895da-3858-4d8d-ab90-543bcf58b23e'",",'Col':",COLUMN(BCDanhMucDauTu_06029!F24),",'Row':",ROW(BCDanhMucDauTu_06029!F24),",","'ColDynamic':",COLUMN(BCDanhMucDauTu_06029!#REF!),",","'RowDynamic':",ROW(BCDanhMucDauTu_06029!#REF!),",","'Format':'numberic'",",'Value':'",SUBSTITUTE(BCDanhMucDauTu_06029!F24,"'","\'"),"','TargetCode':''}")</f>
        <v>#REF!</v>
      </c>
    </row>
    <row r="324" ht="12.75">
      <c r="A324" t="e">
        <f>CONCATENATE("{'SheetId':'b351068c-e4e3-4f57-bdcf-24c2ce0ff793'",",","'UId':'b12319f9-b486-4e3c-968f-635c2693280b'",",'Col':",COLUMN(BCDanhMucDauTu_06029!G24),",'Row':",ROW(BCDanhMucDauTu_06029!G24),",","'ColDynamic':",COLUMN(BCDanhMucDauTu_06029!#REF!),",","'RowDynamic':",ROW(BCDanhMucDauTu_06029!#REF!),",","'Format':'numberic'",",'Value':'",SUBSTITUTE(BCDanhMucDauTu_06029!G24,"'","\'"),"','TargetCode':''}")</f>
        <v>#REF!</v>
      </c>
    </row>
    <row r="325" ht="12.75">
      <c r="A325" t="str">
        <f>CONCATENATE("{'SheetId':'b351068c-e4e3-4f57-bdcf-24c2ce0ff793'",",","'UId':'740ad2fc-8f8c-4571-bfbb-d73a204a23fa'",",'Col':",COLUMN(BCDanhMucDauTu_06029!D27),",'Row':",ROW(BCDanhMucDauTu_06029!D27),",","'Format':'numberic'",",'Value':'",SUBSTITUTE(BCDanhMucDauTu_06029!D27,"'","\'"),"','TargetCode':''}")</f>
        <v>{'SheetId':'b351068c-e4e3-4f57-bdcf-24c2ce0ff793','UId':'740ad2fc-8f8c-4571-bfbb-d73a204a23fa','Col':4,'Row':27,'Format':'numberic','Value':'','TargetCode':''}</v>
      </c>
    </row>
    <row r="326" ht="12.75">
      <c r="A326" t="str">
        <f>CONCATENATE("{'SheetId':'b351068c-e4e3-4f57-bdcf-24c2ce0ff793'",",","'UId':'41643327-c3cb-4259-acbc-d10c8c939580'",",'Col':",COLUMN(BCDanhMucDauTu_06029!E27),",'Row':",ROW(BCDanhMucDauTu_06029!E27),",","'Format':'numberic'",",'Value':'",SUBSTITUTE(BCDanhMucDauTu_06029!E27,"'","\'"),"','TargetCode':''}")</f>
        <v>{'SheetId':'b351068c-e4e3-4f57-bdcf-24c2ce0ff793','UId':'41643327-c3cb-4259-acbc-d10c8c939580','Col':5,'Row':27,'Format':'numberic','Value':'','TargetCode':''}</v>
      </c>
    </row>
    <row r="327" ht="12.75">
      <c r="A327" t="str">
        <f>CONCATENATE("{'SheetId':'b351068c-e4e3-4f57-bdcf-24c2ce0ff793'",",","'UId':'d007d564-0a98-45f4-94c4-a2e4056245bc'",",'Col':",COLUMN(BCDanhMucDauTu_06029!F27),",'Row':",ROW(BCDanhMucDauTu_06029!F27),",","'Format':'numberic'",",'Value':'",SUBSTITUTE(BCDanhMucDauTu_06029!F27,"'","\'"),"','TargetCode':''}")</f>
        <v>{'SheetId':'b351068c-e4e3-4f57-bdcf-24c2ce0ff793','UId':'d007d564-0a98-45f4-94c4-a2e4056245bc','Col':6,'Row':27,'Format':'numberic','Value':'','TargetCode':''}</v>
      </c>
    </row>
    <row r="328" ht="12.75">
      <c r="A328" t="str">
        <f>CONCATENATE("{'SheetId':'b351068c-e4e3-4f57-bdcf-24c2ce0ff793'",",","'UId':'87b8e950-d5f9-45b4-8cfb-d8108dd16f8f'",",'Col':",COLUMN(BCDanhMucDauTu_06029!G27),",'Row':",ROW(BCDanhMucDauTu_06029!G27),",","'Format':'numberic'",",'Value':'",SUBSTITUTE(BCDanhMucDauTu_06029!G27,"'","\'"),"','TargetCode':''}")</f>
        <v>{'SheetId':'b351068c-e4e3-4f57-bdcf-24c2ce0ff793','UId':'87b8e950-d5f9-45b4-8cfb-d8108dd16f8f','Col':7,'Row':27,'Format':'numberic','Value':'0','TargetCode':''}</v>
      </c>
    </row>
    <row r="329" ht="12.75">
      <c r="A329" t="str">
        <f>CONCATENATE("{'SheetId':'b351068c-e4e3-4f57-bdcf-24c2ce0ff793'",",","'UId':'70e2406f-94eb-466f-8d09-837ad44a449c'",",'Col':",COLUMN(BCDanhMucDauTu_06029!D28),",'Row':",ROW(BCDanhMucDauTu_06029!D28),",","'Format':'numberic'",",'Value':'",SUBSTITUTE(BCDanhMucDauTu_06029!D28,"'","\'"),"','TargetCode':''}")</f>
        <v>{'SheetId':'b351068c-e4e3-4f57-bdcf-24c2ce0ff793','UId':'70e2406f-94eb-466f-8d09-837ad44a449c','Col':4,'Row':28,'Format':'numberic','Value':'209209','TargetCode':''}</v>
      </c>
    </row>
    <row r="330" ht="12.75">
      <c r="A330" t="str">
        <f>CONCATENATE("{'SheetId':'b351068c-e4e3-4f57-bdcf-24c2ce0ff793'",",","'UId':'d0c68994-6723-45f4-a51b-ec4a1f1cb761'",",'Col':",COLUMN(BCDanhMucDauTu_06029!E28),",'Row':",ROW(BCDanhMucDauTu_06029!E28),",","'Format':'numberic'",",'Value':'",SUBSTITUTE(BCDanhMucDauTu_06029!E28,"'","\'"),"','TargetCode':''}")</f>
        <v>{'SheetId':'b351068c-e4e3-4f57-bdcf-24c2ce0ff793','UId':'d0c68994-6723-45f4-a51b-ec4a1f1cb761','Col':5,'Row':28,'Format':'numberic','Value':' - ','TargetCode':''}</v>
      </c>
    </row>
    <row r="331" ht="12.75">
      <c r="A331" t="str">
        <f>CONCATENATE("{'SheetId':'b351068c-e4e3-4f57-bdcf-24c2ce0ff793'",",","'UId':'6c78638c-c601-49bf-a9e5-d48c4258eadd'",",'Col':",COLUMN(BCDanhMucDauTu_06029!F28),",'Row':",ROW(BCDanhMucDauTu_06029!F28),",","'Format':'numberic'",",'Value':'",SUBSTITUTE(BCDanhMucDauTu_06029!F28,"'","\'"),"','TargetCode':''}")</f>
        <v>{'SheetId':'b351068c-e4e3-4f57-bdcf-24c2ce0ff793','UId':'6c78638c-c601-49bf-a9e5-d48c4258eadd','Col':6,'Row':28,'Format':'numberic','Value':'28157510712','TargetCode':''}</v>
      </c>
    </row>
    <row r="332" ht="12.75">
      <c r="A332" t="str">
        <f>CONCATENATE("{'SheetId':'b351068c-e4e3-4f57-bdcf-24c2ce0ff793'",",","'UId':'bb82eed3-a7c3-4954-be20-20a9717d4026'",",'Col':",COLUMN(BCDanhMucDauTu_06029!G28),",'Row':",ROW(BCDanhMucDauTu_06029!G28),",","'Format':'numberic'",",'Value':'",SUBSTITUTE(BCDanhMucDauTu_06029!G28,"'","\'"),"','TargetCode':''}")</f>
        <v>{'SheetId':'b351068c-e4e3-4f57-bdcf-24c2ce0ff793','UId':'bb82eed3-a7c3-4954-be20-20a9717d4026','Col':7,'Row':28,'Format':'numberic','Value':'0.228497165871345','TargetCode':''}</v>
      </c>
    </row>
    <row r="333" ht="12.75">
      <c r="A333" t="e">
        <f>CONCATENATE("{'SheetId':'b351068c-e4e3-4f57-bdcf-24c2ce0ff793'",",","'UId':'4fe6fd2f-049f-4c3b-a78b-58fd08d62d7d'",",'Col':",COLUMN(BCDanhMucDauTu_06029!A38),",'Row':",ROW(BCDanhMucDauTu_06029!A38),",","'ColDynamic':",COLUMN(BCDanhMucDauTu_06029!#REF!),",","'RowDynamic':",ROW(BCDanhMucDauTu_06029!#REF!),",","'Format':'numberic'",",'Value':'",SUBSTITUTE(BCDanhMucDauTu_06029!A38,"'","\'"),"','TargetCode':''}")</f>
        <v>#REF!</v>
      </c>
    </row>
    <row r="334" ht="12.75">
      <c r="A334" t="e">
        <f>CONCATENATE("{'SheetId':'b351068c-e4e3-4f57-bdcf-24c2ce0ff793'",",","'UId':'21737fa5-5263-466a-9802-c554ec94ffeb'",",'Col':",COLUMN(BCDanhMucDauTu_06029!B38),",'Row':",ROW(BCDanhMucDauTu_06029!B38),",","'ColDynamic':",COLUMN(BCDanhMucDauTu_06029!#REF!),",","'RowDynamic':",ROW(BCDanhMucDauTu_06029!#REF!),",","'Format':'string'",",'Value':'",SUBSTITUTE(BCDanhMucDauTu_06029!B38,"'","\'"),"','TargetCode':''}")</f>
        <v>#REF!</v>
      </c>
    </row>
    <row r="335" ht="12.75">
      <c r="A335" t="e">
        <f>CONCATENATE("{'SheetId':'b351068c-e4e3-4f57-bdcf-24c2ce0ff793'",",","'UId':'b1780ae8-e3e9-4d68-b8e3-06dc22233b5c'",",'Col':",COLUMN(BCDanhMucDauTu_06029!C38),",'Row':",ROW(BCDanhMucDauTu_06029!C38),",","'ColDynamic':",COLUMN(BCDanhMucDauTu_06029!#REF!),",","'RowDynamic':",ROW(BCDanhMucDauTu_06029!#REF!),",","'Format':'numberic'",",'Value':'",SUBSTITUTE(BCDanhMucDauTu_06029!C38,"'","\'"),"','TargetCode':''}")</f>
        <v>#REF!</v>
      </c>
    </row>
    <row r="336" ht="12.75">
      <c r="A336" t="e">
        <f>CONCATENATE("{'SheetId':'b351068c-e4e3-4f57-bdcf-24c2ce0ff793'",",","'UId':'fd0c415a-d2bc-42ee-b389-414f8400dae8'",",'Col':",COLUMN(BCDanhMucDauTu_06029!D38),",'Row':",ROW(BCDanhMucDauTu_06029!D38),",","'ColDynamic':",COLUMN(BCDanhMucDauTu_06029!#REF!),",","'RowDynamic':",ROW(BCDanhMucDauTu_06029!#REF!),",","'Format':'numberic'",",'Value':'",SUBSTITUTE(BCDanhMucDauTu_06029!D38,"'","\'"),"','TargetCode':''}")</f>
        <v>#REF!</v>
      </c>
    </row>
    <row r="337" ht="12.75">
      <c r="A337" t="e">
        <f>CONCATENATE("{'SheetId':'b351068c-e4e3-4f57-bdcf-24c2ce0ff793'",",","'UId':'816243e8-9c85-4ba1-805c-371f6b4844e4'",",'Col':",COLUMN(BCDanhMucDauTu_06029!E38),",'Row':",ROW(BCDanhMucDauTu_06029!E38),",","'ColDynamic':",COLUMN(BCDanhMucDauTu_06029!#REF!),",","'RowDynamic':",ROW(BCDanhMucDauTu_06029!#REF!),",","'Format':'numberic'",",'Value':'",SUBSTITUTE(BCDanhMucDauTu_06029!E38,"'","\'"),"','TargetCode':''}")</f>
        <v>#REF!</v>
      </c>
    </row>
    <row r="338" ht="12.75">
      <c r="A338" t="e">
        <f>CONCATENATE("{'SheetId':'b351068c-e4e3-4f57-bdcf-24c2ce0ff793'",",","'UId':'2efa8183-1804-400f-919b-54e0d328e017'",",'Col':",COLUMN(BCDanhMucDauTu_06029!F38),",'Row':",ROW(BCDanhMucDauTu_06029!F38),",","'ColDynamic':",COLUMN(BCDanhMucDauTu_06029!#REF!),",","'RowDynamic':",ROW(BCDanhMucDauTu_06029!#REF!),",","'Format':'numberic'",",'Value':'",SUBSTITUTE(BCDanhMucDauTu_06029!F38,"'","\'"),"','TargetCode':''}")</f>
        <v>#REF!</v>
      </c>
    </row>
    <row r="339" ht="12.75">
      <c r="A339" t="e">
        <f>CONCATENATE("{'SheetId':'b351068c-e4e3-4f57-bdcf-24c2ce0ff793'",",","'UId':'890ca93f-4ffa-4063-bc4e-3ca8427d321f'",",'Col':",COLUMN(BCDanhMucDauTu_06029!G38),",'Row':",ROW(BCDanhMucDauTu_06029!G38),",","'ColDynamic':",COLUMN(BCDanhMucDauTu_06029!#REF!),",","'RowDynamic':",ROW(BCDanhMucDauTu_06029!#REF!),",","'Format':'numberic'",",'Value':'",SUBSTITUTE(BCDanhMucDauTu_06029!G38,"'","\'"),"','TargetCode':''}")</f>
        <v>#REF!</v>
      </c>
    </row>
    <row r="340" ht="12.75">
      <c r="A340" t="str">
        <f>CONCATENATE("{'SheetId':'b351068c-e4e3-4f57-bdcf-24c2ce0ff793'",",","'UId':'df249e66-a9ea-45a2-9c76-d51aecb2379d'",",'Col':",COLUMN(BCDanhMucDauTu_06029!D39),",'Row':",ROW(BCDanhMucDauTu_06029!D39),",","'Format':'numberic'",",'Value':'",SUBSTITUTE(BCDanhMucDauTu_06029!D39,"'","\'"),"','TargetCode':''}")</f>
        <v>{'SheetId':'b351068c-e4e3-4f57-bdcf-24c2ce0ff793','UId':'df249e66-a9ea-45a2-9c76-d51aecb2379d','Col':4,'Row':39,'Format':'numberic','Value':'  ','TargetCode':''}</v>
      </c>
    </row>
    <row r="341" ht="12.75">
      <c r="A341" t="str">
        <f>CONCATENATE("{'SheetId':'b351068c-e4e3-4f57-bdcf-24c2ce0ff793'",",","'UId':'a81df1b4-0c26-4bbd-9a9d-27dc4b538b2c'",",'Col':",COLUMN(BCDanhMucDauTu_06029!E39),",'Row':",ROW(BCDanhMucDauTu_06029!E39),",","'Format':'numberic'",",'Value':'",SUBSTITUTE(BCDanhMucDauTu_06029!E39,"'","\'"),"','TargetCode':''}")</f>
        <v>{'SheetId':'b351068c-e4e3-4f57-bdcf-24c2ce0ff793','UId':'a81df1b4-0c26-4bbd-9a9d-27dc4b538b2c','Col':5,'Row':39,'Format':'numberic','Value':'  ','TargetCode':''}</v>
      </c>
    </row>
    <row r="342" ht="12.75">
      <c r="A342" t="str">
        <f>CONCATENATE("{'SheetId':'b351068c-e4e3-4f57-bdcf-24c2ce0ff793'",",","'UId':'4a9e3616-ca24-464d-b5e2-89b07d4dab94'",",'Col':",COLUMN(BCDanhMucDauTu_06029!F39),",'Row':",ROW(BCDanhMucDauTu_06029!F39),",","'Format':'numberic'",",'Value':'",SUBSTITUTE(BCDanhMucDauTu_06029!F39,"'","\'"),"','TargetCode':''}")</f>
        <v>{'SheetId':'b351068c-e4e3-4f57-bdcf-24c2ce0ff793','UId':'4a9e3616-ca24-464d-b5e2-89b07d4dab94','Col':6,'Row':39,'Format':'numberic','Value':'','TargetCode':''}</v>
      </c>
    </row>
    <row r="343" ht="12.75">
      <c r="A343" t="str">
        <f>CONCATENATE("{'SheetId':'b351068c-e4e3-4f57-bdcf-24c2ce0ff793'",",","'UId':'4cbb5dbb-7a56-4367-b451-172c5d9fc088'",",'Col':",COLUMN(BCDanhMucDauTu_06029!G39),",'Row':",ROW(BCDanhMucDauTu_06029!G39),",","'Format':'numberic'",",'Value':'",SUBSTITUTE(BCDanhMucDauTu_06029!G39,"'","\'"),"','TargetCode':''}")</f>
        <v>{'SheetId':'b351068c-e4e3-4f57-bdcf-24c2ce0ff793','UId':'4cbb5dbb-7a56-4367-b451-172c5d9fc088','Col':7,'Row':39,'Format':'numberic','Value':'0','TargetCode':''}</v>
      </c>
    </row>
    <row r="344" ht="12.75">
      <c r="A344" t="str">
        <f>CONCATENATE("{'SheetId':'b351068c-e4e3-4f57-bdcf-24c2ce0ff793'",",","'UId':'70357de6-0706-48a2-a361-da95bcaa1827'",",'Col':",COLUMN(BCDanhMucDauTu_06029!D40),",'Row':",ROW(BCDanhMucDauTu_06029!D40),",","'Format':'numberic'",",'Value':'",SUBSTITUTE(BCDanhMucDauTu_06029!D40,"'","\'"),"','TargetCode':''}")</f>
        <v>{'SheetId':'b351068c-e4e3-4f57-bdcf-24c2ce0ff793','UId':'70357de6-0706-48a2-a361-da95bcaa1827','Col':4,'Row':40,'Format':'numberic','Value':'  ','TargetCode':''}</v>
      </c>
    </row>
    <row r="345" ht="12.75">
      <c r="A345" t="str">
        <f>CONCATENATE("{'SheetId':'b351068c-e4e3-4f57-bdcf-24c2ce0ff793'",",","'UId':'4f148c59-190d-4dad-aff9-126f4ce81c6d'",",'Col':",COLUMN(BCDanhMucDauTu_06029!E40),",'Row':",ROW(BCDanhMucDauTu_06029!E40),",","'Format':'numberic'",",'Value':'",SUBSTITUTE(BCDanhMucDauTu_06029!E40,"'","\'"),"','TargetCode':''}")</f>
        <v>{'SheetId':'b351068c-e4e3-4f57-bdcf-24c2ce0ff793','UId':'4f148c59-190d-4dad-aff9-126f4ce81c6d','Col':5,'Row':40,'Format':'numberic','Value':'  ','TargetCode':''}</v>
      </c>
    </row>
    <row r="346" ht="12.75">
      <c r="A346" t="str">
        <f>CONCATENATE("{'SheetId':'b351068c-e4e3-4f57-bdcf-24c2ce0ff793'",",","'UId':'6ba9d2bf-7322-4bb6-be73-05a728f53c5a'",",'Col':",COLUMN(BCDanhMucDauTu_06029!F40),",'Row':",ROW(BCDanhMucDauTu_06029!F40),",","'Format':'numberic'",",'Value':'",SUBSTITUTE(BCDanhMucDauTu_06029!F40,"'","\'"),"','TargetCode':''}")</f>
        <v>{'SheetId':'b351068c-e4e3-4f57-bdcf-24c2ce0ff793','UId':'6ba9d2bf-7322-4bb6-be73-05a728f53c5a','Col':6,'Row':40,'Format':'numberic','Value':'56571677448','TargetCode':''}</v>
      </c>
    </row>
    <row r="347" ht="12.75">
      <c r="A347" t="str">
        <f>CONCATENATE("{'SheetId':'b351068c-e4e3-4f57-bdcf-24c2ce0ff793'",",","'UId':'cad08826-aed0-458d-a3df-563ee1ca2782'",",'Col':",COLUMN(BCDanhMucDauTu_06029!G40),",'Row':",ROW(BCDanhMucDauTu_06029!G40),",","'Format':'numberic'",",'Value':'",SUBSTITUTE(BCDanhMucDauTu_06029!G40,"'","\'"),"','TargetCode':''}")</f>
        <v>{'SheetId':'b351068c-e4e3-4f57-bdcf-24c2ce0ff793','UId':'cad08826-aed0-458d-a3df-563ee1ca2782','Col':7,'Row':40,'Format':'numberic','Value':'0.459077085956571','TargetCode':''}</v>
      </c>
    </row>
    <row r="348" ht="12.75">
      <c r="A348" t="str">
        <f>CONCATENATE("{'SheetId':'b351068c-e4e3-4f57-bdcf-24c2ce0ff793'",",","'UId':'26452794-e0d2-44f2-8c51-7f5465fbf4cf'",",'Col':",COLUMN(BCDanhMucDauTu_06029!A47),",'Row':",ROW(BCDanhMucDauTu_06029!A47),",","'ColDynamic':",COLUMN(BCDanhMucDauTu_06029!A39),",","'RowDynamic':",ROW(BCDanhMucDauTu_06029!A39),",","'Format':'string'",",'Value':'",SUBSTITUTE(BCDanhMucDauTu_06029!A47,"'","\'"),"','TargetCode':''}")</f>
        <v>{'SheetId':'b351068c-e4e3-4f57-bdcf-24c2ce0ff793','UId':'26452794-e0d2-44f2-8c51-7f5465fbf4cf','Col':1,'Row':47,'ColDynamic':1,'RowDynamic':39,'Format':'string','Value':'1.4','TargetCode':''}</v>
      </c>
    </row>
    <row r="349" ht="12.75">
      <c r="A349" t="str">
        <f>CONCATENATE("{'SheetId':'b351068c-e4e3-4f57-bdcf-24c2ce0ff793'",",","'UId':'9b14eff9-5e45-4cf1-9494-0604b89ed28b'",",'Col':",COLUMN(BCDanhMucDauTu_06029!B47),",'Row':",ROW(BCDanhMucDauTu_06029!B47),",","'ColDynamic':",COLUMN(BCDanhMucDauTu_06029!B39),",","'RowDynamic':",ROW(BCDanhMucDauTu_06029!B39),",","'Format':'string'",",'Value':'",SUBSTITUTE(BCDanhMucDauTu_06029!B47,"'","\'"),"','TargetCode':''}")</f>
        <v>{'SheetId':'b351068c-e4e3-4f57-bdcf-24c2ce0ff793','UId':'9b14eff9-5e45-4cf1-9494-0604b89ed28b','Col':2,'Row':47,'ColDynamic':2,'RowDynamic':39,'Format':'string','Value':'Tiền gửi kỳ hạn không quá 3 tháng
Deposit with term not more than three months','TargetCode':''}</v>
      </c>
    </row>
    <row r="350" ht="12.75">
      <c r="A350" t="str">
        <f>CONCATENATE("{'SheetId':'b351068c-e4e3-4f57-bdcf-24c2ce0ff793'",",","'UId':'8d66f097-23e3-4ef9-8131-e5ac52c6b32f'",",'Col':",COLUMN(BCDanhMucDauTu_06029!C47),",'Row':",ROW(BCDanhMucDauTu_06029!C47),",","'ColDynamic':",COLUMN(BCDanhMucDauTu_06029!C39),",","'RowDynamic':",ROW(BCDanhMucDauTu_06029!C39),",","'Format':'string'",",'Value':'",SUBSTITUTE(BCDanhMucDauTu_06029!C47,"'","\'"),"','TargetCode':''}")</f>
        <v>{'SheetId':'b351068c-e4e3-4f57-bdcf-24c2ce0ff793','UId':'8d66f097-23e3-4ef9-8131-e5ac52c6b32f','Col':3,'Row':47,'ColDynamic':3,'RowDynamic':39,'Format':'string','Value':'2259.4','TargetCode':''}</v>
      </c>
    </row>
    <row r="351" ht="12.75">
      <c r="A351" t="str">
        <f>CONCATENATE("{'SheetId':'b351068c-e4e3-4f57-bdcf-24c2ce0ff793'",",","'UId':'ead9614a-658c-4220-bedf-ca1bfba113ca'",",'Col':",COLUMN(BCDanhMucDauTu_06029!D47),",'Row':",ROW(BCDanhMucDauTu_06029!D47),",","'ColDynamic':",COLUMN(BCDanhMucDauTu_06029!D39),",","'RowDynamic':",ROW(BCDanhMucDauTu_06029!D39),",","'Format':'numberic'",",'Value':'",SUBSTITUTE(BCDanhMucDauTu_06029!D47,"'","\'"),"','TargetCode':''}")</f>
        <v>{'SheetId':'b351068c-e4e3-4f57-bdcf-24c2ce0ff793','UId':'ead9614a-658c-4220-bedf-ca1bfba113ca','Col':4,'Row':47,'ColDynamic':4,'RowDynamic':39,'Format':'numberic','Value':' - ','TargetCode':''}</v>
      </c>
    </row>
    <row r="352" ht="12.75">
      <c r="A352" t="str">
        <f>CONCATENATE("{'SheetId':'b351068c-e4e3-4f57-bdcf-24c2ce0ff793'",",","'UId':'4fdfc09c-5e5b-40ad-b617-c48d140e6fbc'",",'Col':",COLUMN(BCDanhMucDauTu_06029!E47),",'Row':",ROW(BCDanhMucDauTu_06029!E47),",","'ColDynamic':",COLUMN(BCDanhMucDauTu_06029!E39),",","'RowDynamic':",ROW(BCDanhMucDauTu_06029!E39),",","'Format':'numberic'",",'Value':'",SUBSTITUTE(BCDanhMucDauTu_06029!E47,"'","\'"),"','TargetCode':''}")</f>
        <v>{'SheetId':'b351068c-e4e3-4f57-bdcf-24c2ce0ff793','UId':'4fdfc09c-5e5b-40ad-b617-c48d140e6fbc','Col':5,'Row':47,'ColDynamic':5,'RowDynamic':39,'Format':'numberic','Value':' - ','TargetCode':''}</v>
      </c>
    </row>
    <row r="353" ht="12.75">
      <c r="A353" t="str">
        <f>CONCATENATE("{'SheetId':'b351068c-e4e3-4f57-bdcf-24c2ce0ff793'",",","'UId':'ba8351a8-8ef9-4c39-b20c-9e499c7302c4'",",'Col':",COLUMN(BCDanhMucDauTu_06029!F47),",'Row':",ROW(BCDanhMucDauTu_06029!F47),",","'ColDynamic':",COLUMN(BCDanhMucDauTu_06029!F39),",","'RowDynamic':",ROW(BCDanhMucDauTu_06029!F39),",","'Format':'numberic'",",'Value':'",SUBSTITUTE(BCDanhMucDauTu_06029!F47,"'","\'"),"','TargetCode':''}")</f>
        <v>{'SheetId':'b351068c-e4e3-4f57-bdcf-24c2ce0ff793','UId':'ba8351a8-8ef9-4c39-b20c-9e499c7302c4','Col':6,'Row':47,'ColDynamic':6,'RowDynamic':39,'Format':'numberic','Value':'36000000000','TargetCode':''}</v>
      </c>
    </row>
    <row r="354" ht="12.75">
      <c r="A354" t="str">
        <f>CONCATENATE("{'SheetId':'b351068c-e4e3-4f57-bdcf-24c2ce0ff793'",",","'UId':'20aec549-2649-4108-8c50-4ff697541fea'",",'Col':",COLUMN(BCDanhMucDauTu_06029!G47),",'Row':",ROW(BCDanhMucDauTu_06029!G47),",","'ColDynamic':",COLUMN(BCDanhMucDauTu_06029!G39),",","'RowDynamic':",ROW(BCDanhMucDauTu_06029!G39),",","'Format':'numberic'",",'Value':'",SUBSTITUTE(BCDanhMucDauTu_06029!G47,"'","\'"),"','TargetCode':''}")</f>
        <v>{'SheetId':'b351068c-e4e3-4f57-bdcf-24c2ce0ff793','UId':'20aec549-2649-4108-8c50-4ff697541fea','Col':7,'Row':47,'ColDynamic':7,'RowDynamic':39,'Format':'numberic','Value':'0.292138678575119','TargetCode':''}</v>
      </c>
    </row>
    <row r="355" ht="12.75">
      <c r="A355" t="e">
        <f>CONCATENATE("{'SheetId':'b351068c-e4e3-4f57-bdcf-24c2ce0ff793'",",","'UId':'c94d94d7-01a6-4c24-95e6-4f83c62d0567'",",'Col':",COLUMN(BCDanhMucDauTu_06029!A50),",'Row':",ROW(BCDanhMucDauTu_06029!A50),",","'ColDynamic':",COLUMN(BCDanhMucDauTu_06029!#REF!),",","'RowDynamic':",ROW(BCDanhMucDauTu_06029!#REF!),",","'Format':'string'",",'Value':'",SUBSTITUTE(BCDanhMucDauTu_06029!A50,"'","\'"),"','TargetCode':''}")</f>
        <v>#REF!</v>
      </c>
    </row>
    <row r="356" ht="12.75">
      <c r="A356" t="e">
        <f>CONCATENATE("{'SheetId':'b351068c-e4e3-4f57-bdcf-24c2ce0ff793'",",","'UId':'333b59bf-d7bf-4903-a769-681773c5c1d6'",",'Col':",COLUMN(BCDanhMucDauTu_06029!B50),",'Row':",ROW(BCDanhMucDauTu_06029!B50),",","'ColDynamic':",COLUMN(BCDanhMucDauTu_06029!#REF!),",","'RowDynamic':",ROW(BCDanhMucDauTu_06029!#REF!),",","'Format':'string'",",'Value':'",SUBSTITUTE(BCDanhMucDauTu_06029!B50,"'","\'"),"','TargetCode':''}")</f>
        <v>#REF!</v>
      </c>
    </row>
    <row r="357" ht="12.75">
      <c r="A357" t="e">
        <f>CONCATENATE("{'SheetId':'b351068c-e4e3-4f57-bdcf-24c2ce0ff793'",",","'UId':'70dcb08c-d0c0-43e8-87c7-cb83b1736902'",",'Col':",COLUMN(BCDanhMucDauTu_06029!C50),",'Row':",ROW(BCDanhMucDauTu_06029!C50),",","'ColDynamic':",COLUMN(BCDanhMucDauTu_06029!#REF!),",","'RowDynamic':",ROW(BCDanhMucDauTu_06029!#REF!),",","'Format':'string'",",'Value':'",SUBSTITUTE(BCDanhMucDauTu_06029!C50,"'","\'"),"','TargetCode':''}")</f>
        <v>#REF!</v>
      </c>
    </row>
    <row r="358" ht="12.75">
      <c r="A358" t="e">
        <f>CONCATENATE("{'SheetId':'b351068c-e4e3-4f57-bdcf-24c2ce0ff793'",",","'UId':'b98b0710-edbe-464f-91cc-a50943b92e53'",",'Col':",COLUMN(BCDanhMucDauTu_06029!D50),",'Row':",ROW(BCDanhMucDauTu_06029!D50),",","'ColDynamic':",COLUMN(BCDanhMucDauTu_06029!#REF!),",","'RowDynamic':",ROW(BCDanhMucDauTu_06029!#REF!),",","'Format':'numberic'",",'Value':'",SUBSTITUTE(BCDanhMucDauTu_06029!D50,"'","\'"),"','TargetCode':''}")</f>
        <v>#REF!</v>
      </c>
    </row>
    <row r="359" ht="12.75">
      <c r="A359" t="e">
        <f>CONCATENATE("{'SheetId':'b351068c-e4e3-4f57-bdcf-24c2ce0ff793'",",","'UId':'1e5e338d-e8d3-484c-a931-f154e681f9d1'",",'Col':",COLUMN(BCDanhMucDauTu_06029!E50),",'Row':",ROW(BCDanhMucDauTu_06029!E50),",","'ColDynamic':",COLUMN(BCDanhMucDauTu_06029!#REF!),",","'RowDynamic':",ROW(BCDanhMucDauTu_06029!#REF!),",","'Format':'numberic'",",'Value':'",SUBSTITUTE(BCDanhMucDauTu_06029!E50,"'","\'"),"','TargetCode':''}")</f>
        <v>#REF!</v>
      </c>
    </row>
    <row r="360" ht="12.75">
      <c r="A360" t="e">
        <f>CONCATENATE("{'SheetId':'b351068c-e4e3-4f57-bdcf-24c2ce0ff793'",",","'UId':'f0171a12-b46c-408e-9769-0674783f4494'",",'Col':",COLUMN(BCDanhMucDauTu_06029!F50),",'Row':",ROW(BCDanhMucDauTu_06029!F50),",","'ColDynamic':",COLUMN(BCDanhMucDauTu_06029!#REF!),",","'RowDynamic':",ROW(BCDanhMucDauTu_06029!#REF!),",","'Format':'numberic'",",'Value':'",SUBSTITUTE(BCDanhMucDauTu_06029!F50,"'","\'"),"','TargetCode':''}")</f>
        <v>#REF!</v>
      </c>
    </row>
    <row r="361" ht="12.75">
      <c r="A361" t="e">
        <f>CONCATENATE("{'SheetId':'b351068c-e4e3-4f57-bdcf-24c2ce0ff793'",",","'UId':'123dfcbf-9d8f-4865-9abd-67aef0fb2ded'",",'Col':",COLUMN(BCDanhMucDauTu_06029!G50),",'Row':",ROW(BCDanhMucDauTu_06029!G50),",","'ColDynamic':",COLUMN(BCDanhMucDauTu_06029!#REF!),",","'RowDynamic':",ROW(BCDanhMucDauTu_06029!#REF!),",","'Format':'numberic'",",'Value':'",SUBSTITUTE(BCDanhMucDauTu_06029!G50,"'","\'"),"','TargetCode':''}")</f>
        <v>#REF!</v>
      </c>
    </row>
    <row r="362" ht="12.75">
      <c r="A362" t="str">
        <f>CONCATENATE("{'SheetId':'b351068c-e4e3-4f57-bdcf-24c2ce0ff793'",",","'UId':'61c7d7e9-4c4a-4062-8012-4877345d4ca2'",",'Col':",COLUMN(BCDanhMucDauTu_06029!D51),",'Row':",ROW(BCDanhMucDauTu_06029!D51),",","'Format':'numberic'",",'Value':'",SUBSTITUTE(BCDanhMucDauTu_06029!D51,"'","\'"),"','TargetCode':''}")</f>
        <v>{'SheetId':'b351068c-e4e3-4f57-bdcf-24c2ce0ff793','UId':'61c7d7e9-4c4a-4062-8012-4877345d4ca2','Col':4,'Row':51,'Format':'numberic','Value':' - ','TargetCode':''}</v>
      </c>
    </row>
    <row r="363" ht="12.75">
      <c r="A363" t="str">
        <f>CONCATENATE("{'SheetId':'b351068c-e4e3-4f57-bdcf-24c2ce0ff793'",",","'UId':'55eb1cfc-48db-45d7-badc-9126702dbaca'",",'Col':",COLUMN(BCDanhMucDauTu_06029!E51),",'Row':",ROW(BCDanhMucDauTu_06029!E51),",","'Format':'numberic'",",'Value':'",SUBSTITUTE(BCDanhMucDauTu_06029!E51,"'","\'"),"','TargetCode':''}")</f>
        <v>{'SheetId':'b351068c-e4e3-4f57-bdcf-24c2ce0ff793','UId':'55eb1cfc-48db-45d7-badc-9126702dbaca','Col':5,'Row':51,'Format':'numberic','Value':' - ','TargetCode':''}</v>
      </c>
    </row>
    <row r="364" ht="12.75">
      <c r="A364" t="str">
        <f>CONCATENATE("{'SheetId':'b351068c-e4e3-4f57-bdcf-24c2ce0ff793'",",","'UId':'0b0a71cf-8b1c-4a88-a170-2b7251d20ffa'",",'Col':",COLUMN(BCDanhMucDauTu_06029!F51),",'Row':",ROW(BCDanhMucDauTu_06029!F51),",","'Format':'numberic'",",'Value':'",SUBSTITUTE(BCDanhMucDauTu_06029!F51,"'","\'"),"','TargetCode':''}")</f>
        <v>{'SheetId':'b351068c-e4e3-4f57-bdcf-24c2ce0ff793','UId':'0b0a71cf-8b1c-4a88-a170-2b7251d20ffa','Col':6,'Row':51,'Format':'numberic','Value':'38499958270','TargetCode':''}</v>
      </c>
    </row>
    <row r="365" ht="12.75">
      <c r="A365" t="str">
        <f>CONCATENATE("{'SheetId':'b351068c-e4e3-4f57-bdcf-24c2ce0ff793'",",","'UId':'3ec63538-3a98-477e-b957-0e4550274988'",",'Col':",COLUMN(BCDanhMucDauTu_06029!G51),",'Row':",ROW(BCDanhMucDauTu_06029!G51),",","'Format':'numberic'",",'Value':'",SUBSTITUTE(BCDanhMucDauTu_06029!G51,"'","\'"),"','TargetCode':''}")</f>
        <v>{'SheetId':'b351068c-e4e3-4f57-bdcf-24c2ce0ff793','UId':'3ec63538-3a98-477e-b957-0e4550274988','Col':7,'Row':51,'Format':'numberic','Value':'0.312425748172084','TargetCode':''}</v>
      </c>
    </row>
    <row r="366" ht="12.75">
      <c r="A366" t="e">
        <f>CONCATENATE("{'SheetId':'b351068c-e4e3-4f57-bdcf-24c2ce0ff793'",",","'UId':'b7e2b881-7166-4008-81ef-36fa655ba0d3'",",'Col':",COLUMN(BCDanhMucDauTu_06029!#REF!),",'Row':",ROW(BCDanhMucDauTu_06029!#REF!),",","'Format':'numberic'",",'Value':'",SUBSTITUTE(BCDanhMucDauTu_06029!#REF!,"'","\'"),"','TargetCode':''}")</f>
        <v>#REF!</v>
      </c>
    </row>
    <row r="367" ht="12.75">
      <c r="A367" t="e">
        <f>CONCATENATE("{'SheetId':'b351068c-e4e3-4f57-bdcf-24c2ce0ff793'",",","'UId':'b0198f8c-cffe-4d00-9816-22e0fa96124d'",",'Col':",COLUMN(BCDanhMucDauTu_06029!#REF!),",'Row':",ROW(BCDanhMucDauTu_06029!#REF!),",","'Format':'numberic'",",'Value':'",SUBSTITUTE(BCDanhMucDauTu_06029!#REF!,"'","\'"),"','TargetCode':''}")</f>
        <v>#REF!</v>
      </c>
    </row>
    <row r="368" ht="12.75">
      <c r="A368" t="e">
        <f>CONCATENATE("{'SheetId':'b351068c-e4e3-4f57-bdcf-24c2ce0ff793'",",","'UId':'2a23d1c5-766a-4746-bd88-93015d1e4053'",",'Col':",COLUMN(BCDanhMucDauTu_06029!#REF!),",'Row':",ROW(BCDanhMucDauTu_06029!#REF!),",","'Format':'numberic'",",'Value':'",SUBSTITUTE(BCDanhMucDauTu_06029!#REF!,"'","\'"),"','TargetCode':''}")</f>
        <v>#REF!</v>
      </c>
    </row>
    <row r="369" ht="12.75">
      <c r="A369" t="e">
        <f>CONCATENATE("{'SheetId':'b351068c-e4e3-4f57-bdcf-24c2ce0ff793'",",","'UId':'ca227d64-7ddf-4c5b-94c2-f07049f1a645'",",'Col':",COLUMN(BCDanhMucDauTu_06029!#REF!),",'Row':",ROW(BCDanhMucDauTu_06029!#REF!),",","'Format':'numberic'",",'Value':'",SUBSTITUTE(BCDanhMucDauTu_06029!#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{'SheetId':'8a9060e0-a324-4bdf-abd3-8d5dacfdf1dd','UId':'8fe4c321-a5c4-4a50-a26e-af5571876426','Col':4,'Row':3,'Format':'numberic','Value':'0.00503497090599998','TargetCode':''}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{'SheetId':'8a9060e0-a324-4bdf-abd3-8d5dacfdf1dd','UId':'e505df99-52a5-4046-b588-70e17a64bc04','Col':5,'Row':3,'Format':'numberic','Value':'0.00484200440777039','TargetCode':''}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{'SheetId':'8a9060e0-a324-4bdf-abd3-8d5dacfdf1dd','UId':'906b49c2-3105-44f5-a32d-07590223a8f2','Col':4,'Row':4,'Format':'numberic','Value':'0.00212433931447813','TargetCode':''}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{'SheetId':'8a9060e0-a324-4bdf-abd3-8d5dacfdf1dd','UId':'1292eb8e-a778-4ce5-ab53-509a4c8a9832','Col':5,'Row':4,'Format':'numberic','Value':'0.0027728242112452','TargetCode':''}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{'SheetId':'8a9060e0-a324-4bdf-abd3-8d5dacfdf1dd','UId':'043b7f89-a817-4764-b06f-cc2a71ce03b0','Col':4,'Row':5,'Format':'numberic','Value':'0.00341890774747089','TargetCode':''}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{'SheetId':'8a9060e0-a324-4bdf-abd3-8d5dacfdf1dd','UId':'99e0f9cc-8606-43f9-8ce6-a58dc892af79','Col':5,'Row':5,'Format':'numberic','Value':'0.00383406222149327','TargetCode':''}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{'SheetId':'8a9060e0-a324-4bdf-abd3-8d5dacfdf1dd','UId':'5a5a30c0-7249-46cc-a3d5-6518c7410f2b','Col':4,'Row':6,'Format':'numberic','Value':'0.000668882423680468','TargetCode':''}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{'SheetId':'8a9060e0-a324-4bdf-abd3-8d5dacfdf1dd','UId':'b6bb9469-63ab-4fda-88bd-7b1865b669bf','Col':5,'Row':6,'Format':'numberic','Value':'0.000864425303890209','TargetCode':''}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{'SheetId':'8a9060e0-a324-4bdf-abd3-8d5dacfdf1dd','UId':'e3f08122-3427-41af-b11b-1a46844a64fc','Col':4,'Row':9,'Format':'numberic','Value':'3.54408399688504E-05','TargetCode':''}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{'SheetId':'8a9060e0-a324-4bdf-abd3-8d5dacfdf1dd','UId':'9e68654a-171d-4fbe-8c69-6a6d18753f97','Col':5,'Row':9,'Format':'numberic','Value':'0.000198695531284795','TargetCode':''}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{'SheetId':'8a9060e0-a324-4bdf-abd3-8d5dacfdf1dd','UId':'01528f3a-d80f-403f-9e7e-01c54429c341','Col':4,'Row':10,'Format':'numberic','Value':'0.0112825412315983','TargetCode':''}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{'SheetId':'8a9060e0-a324-4bdf-abd3-8d5dacfdf1dd','UId':'2e9dd82c-3e13-4dfb-9508-7eb62f82b7a5','Col':5,'Row':10,'Format':'numberic','Value':'0.0125120116756839','TargetCode':''}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{'SheetId':'8a9060e0-a324-4bdf-abd3-8d5dacfdf1dd','UId':'e04710a4-564b-4804-a3c9-8b96b736ccd0','Col':4,'Row':11,'Format':'numberic','Value':'0.106024183515378','TargetCode':''}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{'SheetId':'8a9060e0-a324-4bdf-abd3-8d5dacfdf1dd','UId':'0421496e-49be-42f6-bd5e-4ff79e46d605','Col':5,'Row':11,'Format':'numberic','Value':'0.093974289388251','TargetCode':''}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{'SheetId':'8a9060e0-a324-4bdf-abd3-8d5dacfdf1dd','UId':'759e81e7-6be1-448f-8880-c7fb179e0f97','Col':4,'Row':14,'Format':'numberic','Value':'107331828300','TargetCode':''}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{'SheetId':'8a9060e0-a324-4bdf-abd3-8d5dacfdf1dd','UId':'d55f381c-544c-4c22-a6c9-f44d9ae2c1ab','Col':5,'Row':14,'Format':'numberic','Value':'71902495900','TargetCode':''}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{'SheetId':'8a9060e0-a324-4bdf-abd3-8d5dacfdf1dd','UId':'5b9de7f0-70a7-42bf-94c8-d94c81c70e42','Col':4,'Row':15,'Format':'numberic','Value':'107331828300','TargetCode':''}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{'SheetId':'8a9060e0-a324-4bdf-abd3-8d5dacfdf1dd','UId':'85d68133-b410-4986-a2ae-00da0ca256bd','Col':5,'Row':15,'Format':'numberic','Value':'71902495900','TargetCode':''}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{'SheetId':'8a9060e0-a324-4bdf-abd3-8d5dacfdf1dd','UId':'31f6ac2c-5e3e-4a12-b200-cf5f834a027b','Col':4,'Row':16,'Format':'numberic','Value':'10733182.83','TargetCode':''}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{'SheetId':'8a9060e0-a324-4bdf-abd3-8d5dacfdf1dd','UId':'e12c39c4-7956-414a-b632-d0af1c2ab599','Col':5,'Row':16,'Format':'numberic','Value':'7190249.59','TargetCode':''}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{'SheetId':'8a9060e0-a324-4bdf-abd3-8d5dacfdf1dd','UId':'b08c24e4-4516-482b-a697-9d62ff87afcf','Col':4,'Row':17,'Format':'numberic','Value':'1225891100','TargetCode':''}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{'SheetId':'8a9060e0-a324-4bdf-abd3-8d5dacfdf1dd','UId':'a7ccfa80-7e7d-4308-b36d-abc719c80bf3','Col':5,'Row':17,'Format':'numberic','Value':'35429332400','TargetCode':''}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{'SheetId':'8a9060e0-a324-4bdf-abd3-8d5dacfdf1dd','UId':'e8ec4ef9-08e4-4e39-8477-ae21a99e8959','Col':4,'Row':18,'Format':'numberic','Value':'2248302.05','TargetCode':''}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{'SheetId':'8a9060e0-a324-4bdf-abd3-8d5dacfdf1dd','UId':'dde8a5b2-e9c7-4f1b-a63c-0174479280ef','Col':5,'Row':18,'Format':'numberic','Value':'4098374.71','TargetCode':''}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{'SheetId':'8a9060e0-a324-4bdf-abd3-8d5dacfdf1dd','UId':'0e4c1db2-c20e-4d52-853c-271375cc313a','Col':4,'Row':19,'Format':'numberic','Value':'22483020500','TargetCode':''}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{'SheetId':'8a9060e0-a324-4bdf-abd3-8d5dacfdf1dd','UId':'12f0bb36-f2e3-462a-b5c8-133ec8de4536','Col':5,'Row':19,'Format':'numberic','Value':'40983747100','TargetCode':''}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{'SheetId':'8a9060e0-a324-4bdf-abd3-8d5dacfdf1dd','UId':'99c017fe-183e-4244-a2e8-3180fad52922','Col':4,'Row':20,'Format':'numberic','Value':'-2125712.94','TargetCode':''}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{'SheetId':'8a9060e0-a324-4bdf-abd3-8d5dacfdf1dd','UId':'b3b6a8fb-5b81-4dc7-b0e6-531f207f2848','Col':5,'Row':20,'Format':'numberic','Value':'-555441.47','TargetCode':''}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{'SheetId':'8a9060e0-a324-4bdf-abd3-8d5dacfdf1dd','UId':'d7299fb4-5fbd-49ea-a765-7a162fd18f1e','Col':4,'Row':21,'Format':'numberic','Value':'-21257129400','TargetCode':''}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{'SheetId':'8a9060e0-a324-4bdf-abd3-8d5dacfdf1dd','UId':'15c659ac-ac36-4f95-b662-8fcd6067cf35','Col':5,'Row':21,'Format':'numberic','Value':'-5554414700','TargetCode':''}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{'SheetId':'8a9060e0-a324-4bdf-abd3-8d5dacfdf1dd','UId':'232e2092-5dcd-464b-b1fe-07f27efe2d21','Col':4,'Row':22,'Format':'numberic','Value':'108557719400','TargetCode':''}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{'SheetId':'8a9060e0-a324-4bdf-abd3-8d5dacfdf1dd','UId':'fa41f074-2315-4e28-81ff-52700c300177','Col':5,'Row':22,'Format':'numberic','Value':'107331828300','TargetCode':''}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{'SheetId':'8a9060e0-a324-4bdf-abd3-8d5dacfdf1dd','UId':'d8289881-c7ab-468c-ad5d-bf473cb76780','Col':4,'Row':23,'Format':'numberic','Value':'108557719400','TargetCode':''}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{'SheetId':'8a9060e0-a324-4bdf-abd3-8d5dacfdf1dd','UId':'994ed5e1-c943-4620-8991-d05a125691b0','Col':5,'Row':23,'Format':'numberic','Value':'107331828300','TargetCode':''}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{'SheetId':'8a9060e0-a324-4bdf-abd3-8d5dacfdf1dd','UId':'7120d041-84df-4b71-aa97-9c53b5ab7f97','Col':4,'Row':24,'Format':'numberic','Value':'10855771.94','TargetCode':''}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{'SheetId':'8a9060e0-a324-4bdf-abd3-8d5dacfdf1dd','UId':'ee5817e5-5c8c-481c-bd88-acd0b7e7eb64','Col':5,'Row':24,'Format':'numberic','Value':'10733182.83','TargetCode':''}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{'SheetId':'8a9060e0-a324-4bdf-abd3-8d5dacfdf1dd','UId':'83b16c86-f622-444a-8fd4-b601d346c031','Col':4,'Row':25,'Format':'percentage','Value':'0.4214','TargetCode':''}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{'SheetId':'8a9060e0-a324-4bdf-abd3-8d5dacfdf1dd','UId':'6080a665-802c-4b21-ade4-e67d42c38ace','Col':5,'Row':25,'Format':'percentage','Value':'0.4258','TargetCode':''}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{'SheetId':'8a9060e0-a324-4bdf-abd3-8d5dacfdf1dd','UId':'dc7a563a-ad1d-4847-ad52-60ae8b13af41','Col':4,'Row':26,'Format':'percentage','Value':'0.9578','TargetCode':''}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{'SheetId':'8a9060e0-a324-4bdf-abd3-8d5dacfdf1dd','UId':'c291a5ad-47fa-4a53-a5d4-2c97806fed49','Col':5,'Row':26,'Format':'percentage','Value':'0.9545','TargetCode':''}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{'SheetId':'8a9060e0-a324-4bdf-abd3-8d5dacfdf1dd','UId':'19d7d32d-f72f-4744-9b80-66561ae1073a','Col':4,'Row':28,'Format':'numberic','Value':'116','TargetCode':''}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{'SheetId':'8a9060e0-a324-4bdf-abd3-8d5dacfdf1dd','UId':'2c2fe24e-69d3-4ae8-a8c8-c603f2a4a32c','Col':5,'Row':28,'Format':'numberic','Value':'118','TargetCode':''}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{'SheetId':'8a9060e0-a324-4bdf-abd3-8d5dacfdf1dd','UId':'507c37af-0901-43e1-8af6-f40112c246e3','Col':4,'Row':29,'Format':'numberic','Value':'11282.91','TargetCode':''}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{'SheetId':'8a9060e0-a324-4bdf-abd3-8d5dacfdf1dd','UId':'bb1a5a18-9ac0-4a7c-9c34-d6fbecc14baf','Col':5,'Row':29,'Format':'numberic','Value':'11116.5','TargetCode':''}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e">
        <f>CONCATENATE("{'SheetId':'97182267-6c28-4999-8f29-7f8494b4e91c'",",","'UId':'1f217381-09c4-4b08-bc16-cf38703895d8'",",'Col':",COLUMN(#REF!),",'Row':",ROW(#REF!),",","'Format':'numberic'",",'Value':'",SUBSTITUTE(#REF!,"'","\'"),"','TargetCode':''}")</f>
        <v>#REF!</v>
      </c>
    </row>
    <row r="609" ht="12.75">
      <c r="A609" t="e">
        <f>CONCATENATE("{'SheetId':'97182267-6c28-4999-8f29-7f8494b4e91c'",",","'UId':'75a7f8e3-c520-4a1f-8f94-6d5b92eb144c'",",'Col':",COLUMN(#REF!),",'Row':",ROW(#REF!),",","'Format':'numberic'",",'Value':'",SUBSTITUTE(#REF!,"'","\'"),"','TargetCode':''}")</f>
        <v>#REF!</v>
      </c>
    </row>
    <row r="610" ht="12.75">
      <c r="A610" t="e">
        <f>CONCATENATE("{'SheetId':'97182267-6c28-4999-8f29-7f8494b4e91c'",",","'UId':'4ec01a27-490c-436e-afd0-38e0fcc7c1ec'",",'Col':",COLUMN(#REF!),",'Row':",ROW(#REF!),",","'ColDynamic':",COLUMN(#REF!),",","'RowDynamic':",ROW(#REF!),",","'Format':'string'",",'Value':'",SUBSTITUTE(#REF!,"'","\'"),"','TargetCode':''}")</f>
        <v>#REF!</v>
      </c>
    </row>
    <row r="611" ht="12.75">
      <c r="A611" t="e">
        <f>CONCATENATE("{'SheetId':'97182267-6c28-4999-8f29-7f8494b4e91c'",",","'UId':'79f90bbe-e805-48dc-be88-1fe45045ca87'",",'Col':",COLUMN(#REF!),",'Row':",ROW(#REF!),",","'ColDynamic':",COLUMN(#REF!),",","'RowDynamic':",ROW(#REF!),",","'Format':'string'",",'Value':'",SUBSTITUTE(#REF!,"'","\'"),"','TargetCode':''}")</f>
        <v>#REF!</v>
      </c>
    </row>
    <row r="612" ht="12.75">
      <c r="A612" t="e">
        <f>CONCATENATE("{'SheetId':'97182267-6c28-4999-8f29-7f8494b4e91c'",",","'UId':'91ec99df-eb5b-43ae-bbf0-b7c155da6f65'",",'Col':",COLUMN(#REF!),",'Row':",ROW(#REF!),",","'ColDynamic':",COLUMN(#REF!),",","'RowDynamic':",ROW(#REF!),",","'Format':'numberic'",",'Value':'",SUBSTITUTE(#REF!,"'","\'"),"','TargetCode':''}")</f>
        <v>#REF!</v>
      </c>
    </row>
    <row r="613" ht="12.75">
      <c r="A613" t="e">
        <f>CONCATENATE("{'SheetId':'97182267-6c28-4999-8f29-7f8494b4e91c'",",","'UId':'733e929e-f6ac-4838-980b-1b544a1907be'",",'Col':",COLUMN(#REF!),",'Row':",ROW(#REF!),",","'ColDynamic':",COLUMN(#REF!),",","'RowDynamic':",ROW(#REF!),",","'Format':'numberic'",",'Value':'",SUBSTITUTE(#REF!,"'","\'"),"','TargetCode':''}")</f>
        <v>#REF!</v>
      </c>
    </row>
    <row r="614" ht="12.75">
      <c r="A614" t="e">
        <f>CONCATENATE("{'SheetId':'97182267-6c28-4999-8f29-7f8494b4e91c'",",","'UId':'43b75324-4f16-476c-b991-08fd2d857c87'",",'Col':",COLUMN(#REF!),",'Row':",ROW(#REF!),",","'Format':'numberic'",",'Value':'",SUBSTITUTE(#REF!,"'","\'"),"','TargetCode':''}")</f>
        <v>#REF!</v>
      </c>
    </row>
    <row r="615" ht="12.75">
      <c r="A615" t="e">
        <f>CONCATENATE("{'SheetId':'97182267-6c28-4999-8f29-7f8494b4e91c'",",","'UId':'633c9695-abab-48d1-b2ba-4f3e68bd6644'",",'Col':",COLUMN(#REF!),",'Row':",ROW(#REF!),",","'Format':'numberic'",",'Value':'",SUBSTITUTE(#REF!,"'","\'"),"','TargetCode':''}")</f>
        <v>#REF!</v>
      </c>
    </row>
    <row r="616" ht="12.75">
      <c r="A616" t="e">
        <f>CONCATENATE("{'SheetId':'97182267-6c28-4999-8f29-7f8494b4e91c'",",","'UId':'df4cbddb-2ba7-48ae-ab0f-09320a4e4c0c'",",'Col':",COLUMN(#REF!),",'Row':",ROW(#REF!),",","'ColDynamic':",COLUMN(#REF!),",","'RowDynamic':",ROW(#REF!),",","'Format':'string'",",'Value':'",SUBSTITUTE(#REF!,"'","\'"),"','TargetCode':''}")</f>
        <v>#REF!</v>
      </c>
    </row>
    <row r="617" ht="12.75">
      <c r="A617" t="e">
        <f>CONCATENATE("{'SheetId':'97182267-6c28-4999-8f29-7f8494b4e91c'",",","'UId':'fa5aee3b-d12f-4702-b3e8-3cc97b182978'",",'Col':",COLUMN(#REF!),",'Row':",ROW(#REF!),",","'ColDynamic':",COLUMN(#REF!),",","'RowDynamic':",ROW(#REF!),",","'Format':'string'",",'Value':'",SUBSTITUTE(#REF!,"'","\'"),"','TargetCode':''}")</f>
        <v>#REF!</v>
      </c>
    </row>
    <row r="618" ht="12.75">
      <c r="A618" t="e">
        <f>CONCATENATE("{'SheetId':'97182267-6c28-4999-8f29-7f8494b4e91c'",",","'UId':'683d969a-eadd-4ee3-b92d-020eaf544cc5'",",'Col':",COLUMN(#REF!),",'Row':",ROW(#REF!),",","'ColDynamic':",COLUMN(#REF!),",","'RowDynamic':",ROW(#REF!),",","'Format':'numberic'",",'Value':'",SUBSTITUTE(#REF!,"'","\'"),"','TargetCode':''}")</f>
        <v>#REF!</v>
      </c>
    </row>
    <row r="619" ht="12.75">
      <c r="A619" t="e">
        <f>CONCATENATE("{'SheetId':'97182267-6c28-4999-8f29-7f8494b4e91c'",",","'UId':'f1bccef3-cb13-4576-9df2-22088c4e14c0'",",'Col':",COLUMN(#REF!),",'Row':",ROW(#REF!),",","'ColDynamic':",COLUMN(#REF!),",","'RowDynamic':",ROW(#REF!),",","'Format':'numberic'",",'Value':'",SUBSTITUTE(#REF!,"'","\'"),"','TargetCode':''}")</f>
        <v>#REF!</v>
      </c>
    </row>
    <row r="620" ht="12.75">
      <c r="A620" t="e">
        <f>CONCATENATE("{'SheetId':'97182267-6c28-4999-8f29-7f8494b4e91c'",",","'UId':'8d3fa63f-322c-4c32-b818-4bb49278d018'",",'Col':",COLUMN(#REF!),",'Row':",ROW(#REF!),",","'Format':'numberic'",",'Value':'",SUBSTITUTE(#REF!,"'","\'"),"','TargetCode':''}")</f>
        <v>#REF!</v>
      </c>
    </row>
    <row r="621" ht="12.75">
      <c r="A621" t="e">
        <f>CONCATENATE("{'SheetId':'97182267-6c28-4999-8f29-7f8494b4e91c'",",","'UId':'a3984214-62ea-4e2d-a504-fd9cb6c08da3'",",'Col':",COLUMN(#REF!),",'Row':",ROW(#REF!),",","'Format':'numberic'",",'Value':'",SUBSTITUTE(#REF!,"'","\'"),"','TargetCode':''}")</f>
        <v>#REF!</v>
      </c>
    </row>
    <row r="622" ht="12.75">
      <c r="A622" t="e">
        <f>CONCATENATE("{'SheetId':'97182267-6c28-4999-8f29-7f8494b4e91c'",",","'UId':'9d1e0470-d84a-4d3f-bc65-44588bdb72a9'",",'Col':",COLUMN(#REF!),",'Row':",ROW(#REF!),",","'ColDynamic':",COLUMN(#REF!),",","'RowDynamic':",ROW(#REF!),",","'Format':'string'",",'Value':'",SUBSTITUTE(#REF!,"'","\'"),"','TargetCode':''}")</f>
        <v>#REF!</v>
      </c>
    </row>
    <row r="623" ht="12.75">
      <c r="A623" t="e">
        <f>CONCATENATE("{'SheetId':'97182267-6c28-4999-8f29-7f8494b4e91c'",",","'UId':'f1036ed3-e455-421d-9c05-dc2e60ae29c5'",",'Col':",COLUMN(#REF!),",'Row':",ROW(#REF!),",","'ColDynamic':",COLUMN(#REF!),",","'RowDynamic':",ROW(#REF!),",","'Format':'string'",",'Value':'",SUBSTITUTE(#REF!,"'","\'"),"','TargetCode':''}")</f>
        <v>#REF!</v>
      </c>
    </row>
    <row r="624" ht="12.75">
      <c r="A624" t="e">
        <f>CONCATENATE("{'SheetId':'97182267-6c28-4999-8f29-7f8494b4e91c'",",","'UId':'90b4368c-1991-44ad-95ab-45ad6e214e6c'",",'Col':",COLUMN(#REF!),",'Row':",ROW(#REF!),",","'ColDynamic':",COLUMN(#REF!),",","'RowDynamic':",ROW(#REF!),",","'Format':'numberic'",",'Value':'",SUBSTITUTE(#REF!,"'","\'"),"','TargetCode':''}")</f>
        <v>#REF!</v>
      </c>
    </row>
    <row r="625" ht="12.75">
      <c r="A625" t="e">
        <f>CONCATENATE("{'SheetId':'97182267-6c28-4999-8f29-7f8494b4e91c'",",","'UId':'d2cdeebc-c5a4-4c61-800b-d06d7fda3cc2'",",'Col':",COLUMN(#REF!),",'Row':",ROW(#REF!),",","'ColDynamic':",COLUMN(#REF!),",","'RowDynamic':",ROW(#REF!),",","'Format':'numberic'",",'Value':'",SUBSTITUTE(#REF!,"'","\'"),"','TargetCode':''}")</f>
        <v>#REF!</v>
      </c>
    </row>
    <row r="626" ht="12.75">
      <c r="A626" t="e">
        <f>CONCATENATE("{'SheetId':'97182267-6c28-4999-8f29-7f8494b4e91c'",",","'UId':'4b4d7bab-c881-4e00-8fe7-51be8aad650a'",",'Col':",COLUMN(#REF!),",'Row':",ROW(#REF!),",","'Format':'numberic'",",'Value':'",SUBSTITUTE(#REF!,"'","\'"),"','TargetCode':''}")</f>
        <v>#REF!</v>
      </c>
    </row>
    <row r="627" ht="12.75">
      <c r="A627" t="e">
        <f>CONCATENATE("{'SheetId':'97182267-6c28-4999-8f29-7f8494b4e91c'",",","'UId':'234a444f-07bd-43b5-8e61-ea726dd0c957'",",'Col':",COLUMN(#REF!),",'Row':",ROW(#REF!),",","'Format':'numberic'",",'Value':'",SUBSTITUTE(#REF!,"'","\'"),"','TargetCode':''}")</f>
        <v>#REF!</v>
      </c>
    </row>
    <row r="628" ht="12.75">
      <c r="A628" t="e">
        <f>CONCATENATE("{'SheetId':'97182267-6c28-4999-8f29-7f8494b4e91c'",",","'UId':'e652375b-7ccd-4e46-8c62-36326cf10ffd'",",'Col':",COLUMN(#REF!),",'Row':",ROW(#REF!),",","'ColDynamic':",COLUMN(#REF!),",","'RowDynamic':",ROW(#REF!),",","'Format':'string'",",'Value':'",SUBSTITUTE(#REF!,"'","\'"),"','TargetCode':''}")</f>
        <v>#REF!</v>
      </c>
    </row>
    <row r="629" ht="12.75">
      <c r="A629" t="e">
        <f>CONCATENATE("{'SheetId':'97182267-6c28-4999-8f29-7f8494b4e91c'",",","'UId':'01410ae4-49f6-4fcf-a8ee-e4351d8a4cbe'",",'Col':",COLUMN(#REF!),",'Row':",ROW(#REF!),",","'ColDynamic':",COLUMN(#REF!),",","'RowDynamic':",ROW(#REF!),",","'Format':'string'",",'Value':'",SUBSTITUTE(#REF!,"'","\'"),"','TargetCode':''}")</f>
        <v>#REF!</v>
      </c>
    </row>
    <row r="630" ht="12.75">
      <c r="A630" t="e">
        <f>CONCATENATE("{'SheetId':'97182267-6c28-4999-8f29-7f8494b4e91c'",",","'UId':'dfa173f5-c44c-4da3-94d2-d69ee5927791'",",'Col':",COLUMN(#REF!),",'Row':",ROW(#REF!),",","'ColDynamic':",COLUMN(#REF!),",","'RowDynamic':",ROW(#REF!),",","'Format':'numberic'",",'Value':'",SUBSTITUTE(#REF!,"'","\'"),"','TargetCode':''}")</f>
        <v>#REF!</v>
      </c>
    </row>
    <row r="631" ht="12.75">
      <c r="A631" t="e">
        <f>CONCATENATE("{'SheetId':'97182267-6c28-4999-8f29-7f8494b4e91c'",",","'UId':'a905c0ca-cf97-4ceb-a26e-a62672e89731'",",'Col':",COLUMN(#REF!),",'Row':",ROW(#REF!),",","'ColDynamic':",COLUMN(#REF!),",","'RowDynamic':",ROW(#REF!),",","'Format':'numberic'",",'Value':'",SUBSTITUTE(#REF!,"'","\'"),"','TargetCode':''}")</f>
        <v>#REF!</v>
      </c>
    </row>
    <row r="632" ht="12.75">
      <c r="A632" t="e">
        <f>CONCATENATE("{'SheetId':'704aa7e9-976c-49d0-8930-ec9c11dd4753'",",","'UId':'6b2550cc-894f-411b-8bc4-f9ae4f1901ec'",",'Col':",COLUMN(#REF!),",'Row':",ROW(#REF!),",","'Format':'numberic'",",'Value':'",SUBSTITUTE(#REF!,"'","\'"),"','TargetCode':''}")</f>
        <v>#REF!</v>
      </c>
    </row>
    <row r="633" ht="12.75">
      <c r="A633" t="e">
        <f>CONCATENATE("{'SheetId':'704aa7e9-976c-49d0-8930-ec9c11dd4753'",",","'UId':'23c6d657-9cbf-41ec-8a02-e6c9aec64745'",",'Col':",COLUMN(#REF!),",'Row':",ROW(#REF!),",","'Format':'numberic'",",'Value':'",SUBSTITUTE(#REF!,"'","\'"),"','TargetCode':''}")</f>
        <v>#REF!</v>
      </c>
    </row>
    <row r="634" ht="12.75">
      <c r="A634" t="e">
        <f>CONCATENATE("{'SheetId':'704aa7e9-976c-49d0-8930-ec9c11dd4753'",",","'UId':'7d30f366-bd73-46d7-b670-b48513c0d9c8'",",'Col':",COLUMN(#REF!),",'Row':",ROW(#REF!),",","'Format':'numberic'",",'Value':'",SUBSTITUTE(#REF!,"'","\'"),"','TargetCode':''}")</f>
        <v>#REF!</v>
      </c>
    </row>
    <row r="635" ht="12.75">
      <c r="A635" t="e">
        <f>CONCATENATE("{'SheetId':'704aa7e9-976c-49d0-8930-ec9c11dd4753'",",","'UId':'086d749e-4770-430b-9358-7176724bbe8e'",",'Col':",COLUMN(#REF!),",'Row':",ROW(#REF!),",","'Format':'numberic'",",'Value':'",SUBSTITUTE(#REF!,"'","\'"),"','TargetCode':''}")</f>
        <v>#REF!</v>
      </c>
    </row>
    <row r="636" ht="12.75">
      <c r="A636" t="e">
        <f>CONCATENATE("{'SheetId':'704aa7e9-976c-49d0-8930-ec9c11dd4753'",",","'UId':'d991a9ca-b6f0-4988-ad4a-0503d03f6383'",",'Col':",COLUMN(#REF!),",'Row':",ROW(#REF!),",","'Format':'numberic'",",'Value':'",SUBSTITUTE(#REF!,"'","\'"),"','TargetCode':''}")</f>
        <v>#REF!</v>
      </c>
    </row>
    <row r="637" ht="12.75">
      <c r="A637" t="e">
        <f>CONCATENATE("{'SheetId':'704aa7e9-976c-49d0-8930-ec9c11dd4753'",",","'UId':'61ac53b2-4751-46b2-a0d0-b7cf95683845'",",'Col':",COLUMN(#REF!),",'Row':",ROW(#REF!),",","'Format':'numberic'",",'Value':'",SUBSTITUTE(#REF!,"'","\'"),"','TargetCode':''}")</f>
        <v>#REF!</v>
      </c>
    </row>
    <row r="638" ht="12.75">
      <c r="A638" t="e">
        <f>CONCATENATE("{'SheetId':'704aa7e9-976c-49d0-8930-ec9c11dd4753'",",","'UId':'2ef647fd-24f3-4a34-8171-edf63331f417'",",'Col':",COLUMN(#REF!),",'Row':",ROW(#REF!),",","'Format':'numberic'",",'Value':'",SUBSTITUTE(#REF!,"'","\'"),"','TargetCode':''}")</f>
        <v>#REF!</v>
      </c>
    </row>
    <row r="639" ht="12.75">
      <c r="A639" t="e">
        <f>CONCATENATE("{'SheetId':'704aa7e9-976c-49d0-8930-ec9c11dd4753'",",","'UId':'e346f74c-a094-4891-a7b1-8df07d7b1aed'",",'Col':",COLUMN(#REF!),",'Row':",ROW(#REF!),",","'Format':'numberic'",",'Value':'",SUBSTITUTE(#REF!,"'","\'"),"','TargetCode':''}")</f>
        <v>#REF!</v>
      </c>
    </row>
    <row r="640" ht="12.75">
      <c r="A640" t="e">
        <f>CONCATENATE("{'SheetId':'704aa7e9-976c-49d0-8930-ec9c11dd4753'",",","'UId':'5f1d479b-4038-4ac6-9cdc-695e6f56e6a6'",",'Col':",COLUMN(#REF!),",'Row':",ROW(#REF!),",","'Format':'numberic'",",'Value':'",SUBSTITUTE(#REF!,"'","\'"),"','TargetCode':''}")</f>
        <v>#REF!</v>
      </c>
    </row>
    <row r="641" ht="12.75">
      <c r="A641" t="e">
        <f>CONCATENATE("{'SheetId':'704aa7e9-976c-49d0-8930-ec9c11dd4753'",",","'UId':'57e559f9-c28b-49d3-a10b-57b2945261c4'",",'Col':",COLUMN(#REF!),",'Row':",ROW(#REF!),",","'Format':'numberic'",",'Value':'",SUBSTITUTE(#REF!,"'","\'"),"','TargetCode':''}")</f>
        <v>#REF!</v>
      </c>
    </row>
    <row r="642" ht="12.75">
      <c r="A642" t="e">
        <f>CONCATENATE("{'SheetId':'704aa7e9-976c-49d0-8930-ec9c11dd4753'",",","'UId':'9a173cf2-beca-4445-8aa9-2bddf0f029d1'",",'Col':",COLUMN(#REF!),",'Row':",ROW(#REF!),",","'Format':'numberic'",",'Value':'",SUBSTITUTE(#REF!,"'","\'"),"','TargetCode':''}")</f>
        <v>#REF!</v>
      </c>
    </row>
    <row r="643" ht="12.75">
      <c r="A643" t="e">
        <f>CONCATENATE("{'SheetId':'704aa7e9-976c-49d0-8930-ec9c11dd4753'",",","'UId':'98628f8c-4cfd-4fb1-9da7-6daddb9636a8'",",'Col':",COLUMN(#REF!),",'Row':",ROW(#REF!),",","'Format':'numberic'",",'Value':'",SUBSTITUTE(#REF!,"'","\'"),"','TargetCode':''}")</f>
        <v>#REF!</v>
      </c>
    </row>
    <row r="644" ht="12.75">
      <c r="A644" t="e">
        <f>CONCATENATE("{'SheetId':'704aa7e9-976c-49d0-8930-ec9c11dd4753'",",","'UId':'ae9126ae-c7f5-44e2-91fb-6cf8833d2166'",",'Col':",COLUMN(#REF!),",'Row':",ROW(#REF!),",","'Format':'numberic'",",'Value':'",SUBSTITUTE(#REF!,"'","\'"),"','TargetCode':''}")</f>
        <v>#REF!</v>
      </c>
    </row>
    <row r="645" ht="12.75">
      <c r="A645" t="e">
        <f>CONCATENATE("{'SheetId':'704aa7e9-976c-49d0-8930-ec9c11dd4753'",",","'UId':'b6250165-d4ac-4bb8-bae8-4d3698722da8'",",'Col':",COLUMN(#REF!),",'Row':",ROW(#REF!),",","'Format':'numberic'",",'Value':'",SUBSTITUTE(#REF!,"'","\'"),"','TargetCode':''}")</f>
        <v>#REF!</v>
      </c>
    </row>
    <row r="646" ht="12.75">
      <c r="A646" t="e">
        <f>CONCATENATE("{'SheetId':'704aa7e9-976c-49d0-8930-ec9c11dd4753'",",","'UId':'eef22518-653f-4429-b849-37296507e990'",",'Col':",COLUMN(#REF!),",'Row':",ROW(#REF!),",","'Format':'numberic'",",'Value':'",SUBSTITUTE(#REF!,"'","\'"),"','TargetCode':''}")</f>
        <v>#REF!</v>
      </c>
    </row>
    <row r="647" ht="12.75">
      <c r="A647" t="e">
        <f>CONCATENATE("{'SheetId':'704aa7e9-976c-49d0-8930-ec9c11dd4753'",",","'UId':'9f509bcc-e0d5-45c5-8f3b-bd07057aedd8'",",'Col':",COLUMN(#REF!),",'Row':",ROW(#REF!),",","'Format':'numberic'",",'Value':'",SUBSTITUTE(#REF!,"'","\'"),"','TargetCode':''}")</f>
        <v>#REF!</v>
      </c>
    </row>
    <row r="648" ht="12.75">
      <c r="A648" t="e">
        <f>CONCATENATE("{'SheetId':'704aa7e9-976c-49d0-8930-ec9c11dd4753'",",","'UId':'5991553f-49f5-492b-b5b0-a5664cb903f3'",",'Col':",COLUMN(#REF!),",'Row':",ROW(#REF!),",","'Format':'numberic'",",'Value':'",SUBSTITUTE(#REF!,"'","\'"),"','TargetCode':''}")</f>
        <v>#REF!</v>
      </c>
    </row>
    <row r="649" ht="12.75">
      <c r="A649" t="e">
        <f>CONCATENATE("{'SheetId':'704aa7e9-976c-49d0-8930-ec9c11dd4753'",",","'UId':'86b38fc8-07e1-473e-bb52-542775cc0318'",",'Col':",COLUMN(#REF!),",'Row':",ROW(#REF!),",","'Format':'numberic'",",'Value':'",SUBSTITUTE(#REF!,"'","\'"),"','TargetCode':''}")</f>
        <v>#REF!</v>
      </c>
    </row>
    <row r="650" ht="12.75">
      <c r="A650" t="e">
        <f>CONCATENATE("{'SheetId':'704aa7e9-976c-49d0-8930-ec9c11dd4753'",",","'UId':'167bafe8-77e2-4ea5-ab79-6e8b8bab0ee1'",",'Col':",COLUMN(#REF!),",'Row':",ROW(#REF!),",","'Format':'numberic'",",'Value':'",SUBSTITUTE(#REF!,"'","\'"),"','TargetCode':''}")</f>
        <v>#REF!</v>
      </c>
    </row>
    <row r="651" ht="12.75">
      <c r="A651" t="e">
        <f>CONCATENATE("{'SheetId':'704aa7e9-976c-49d0-8930-ec9c11dd4753'",",","'UId':'8609d85d-e046-4d8b-a267-8185ed09cfbd'",",'Col':",COLUMN(#REF!),",'Row':",ROW(#REF!),",","'Format':'numberic'",",'Value':'",SUBSTITUTE(#REF!,"'","\'"),"','TargetCode':''}")</f>
        <v>#REF!</v>
      </c>
    </row>
    <row r="652" ht="12.75">
      <c r="A652" t="e">
        <f>CONCATENATE("{'SheetId':'704aa7e9-976c-49d0-8930-ec9c11dd4753'",",","'UId':'36749311-1f15-47d9-9975-4b36ca800d7a'",",'Col':",COLUMN(#REF!),",'Row':",ROW(#REF!),",","'Format':'numberic'",",'Value':'",SUBSTITUTE(#REF!,"'","\'"),"','TargetCode':''}")</f>
        <v>#REF!</v>
      </c>
    </row>
    <row r="653" ht="12.75">
      <c r="A653" t="e">
        <f>CONCATENATE("{'SheetId':'704aa7e9-976c-49d0-8930-ec9c11dd4753'",",","'UId':'45d190af-f4cb-4dbc-952b-35e18cfc5d37'",",'Col':",COLUMN(#REF!),",'Row':",ROW(#REF!),",","'Format':'numberic'",",'Value':'",SUBSTITUTE(#REF!,"'","\'"),"','TargetCode':''}")</f>
        <v>#REF!</v>
      </c>
    </row>
    <row r="654" ht="12.75">
      <c r="A654" t="e">
        <f>CONCATENATE("{'SheetId':'704aa7e9-976c-49d0-8930-ec9c11dd4753'",",","'UId':'baac9950-622d-4507-a689-90c30ce121a0'",",'Col':",COLUMN(#REF!),",'Row':",ROW(#REF!),",","'Format':'numberic'",",'Value':'",SUBSTITUTE(#REF!,"'","\'"),"','TargetCode':''}")</f>
        <v>#REF!</v>
      </c>
    </row>
    <row r="655" ht="12.75">
      <c r="A655" t="e">
        <f>CONCATENATE("{'SheetId':'704aa7e9-976c-49d0-8930-ec9c11dd4753'",",","'UId':'625f4c92-63eb-44de-9e0e-c6fc5a3a1e4a'",",'Col':",COLUMN(#REF!),",'Row':",ROW(#REF!),",","'Format':'numberic'",",'Value':'",SUBSTITUTE(#REF!,"'","\'"),"','TargetCode':''}")</f>
        <v>#REF!</v>
      </c>
    </row>
    <row r="656" ht="12.75">
      <c r="A656" t="e">
        <f>CONCATENATE("{'SheetId':'704aa7e9-976c-49d0-8930-ec9c11dd4753'",",","'UId':'c330cad0-81a9-4666-b8c0-83bb6ceadf13'",",'Col':",COLUMN(#REF!),",'Row':",ROW(#REF!),",","'Format':'numberic'",",'Value':'",SUBSTITUTE(#REF!,"'","\'"),"','TargetCode':''}")</f>
        <v>#REF!</v>
      </c>
    </row>
    <row r="657" ht="12.75">
      <c r="A657" t="e">
        <f>CONCATENATE("{'SheetId':'704aa7e9-976c-49d0-8930-ec9c11dd4753'",",","'UId':'1f1270a5-c36d-46e7-9c55-ea110d887fee'",",'Col':",COLUMN(#REF!),",'Row':",ROW(#REF!),",","'ColDynamic':",COLUMN(#REF!),",","'RowDynamic':",ROW(#REF!),",","'Format':'string'",",'Value':'",SUBSTITUTE(#REF!,"'","\'"),"','TargetCode':''}")</f>
        <v>#REF!</v>
      </c>
    </row>
    <row r="658" ht="12.75">
      <c r="A658" t="e">
        <f>CONCATENATE("{'SheetId':'704aa7e9-976c-49d0-8930-ec9c11dd4753'",",","'UId':'e754619f-3d39-451f-835e-d6893bdeb0f2'",",'Col':",COLUMN(#REF!),",'Row':",ROW(#REF!),",","'ColDynamic':",COLUMN(#REF!),",","'RowDynamic':",ROW(#REF!),",","'Format':'string'",",'Value':'",SUBSTITUTE(#REF!,"'","\'"),"','TargetCode':''}")</f>
        <v>#REF!</v>
      </c>
    </row>
    <row r="659" ht="12.75">
      <c r="A659" t="e">
        <f>CONCATENATE("{'SheetId':'704aa7e9-976c-49d0-8930-ec9c11dd4753'",",","'UId':'bddd098f-76c2-4a00-883d-21ac9d4b0bfe'",",'Col':",COLUMN(#REF!),",'Row':",ROW(#REF!),",","'ColDynamic':",COLUMN(#REF!),",","'RowDynamic':",ROW(#REF!),",","'Format':'numberic'",",'Value':'",SUBSTITUTE(#REF!,"'","\'"),"','TargetCode':''}")</f>
        <v>#REF!</v>
      </c>
    </row>
    <row r="660" ht="12.75">
      <c r="A660" t="e">
        <f>CONCATENATE("{'SheetId':'704aa7e9-976c-49d0-8930-ec9c11dd4753'",",","'UId':'a7cb204f-91b5-46a7-aef0-aa4bb1f6c9e1'",",'Col':",COLUMN(#REF!),",'Row':",ROW(#REF!),",","'ColDynamic':",COLUMN(#REF!),",","'RowDynamic':",ROW(#REF!),",","'Format':'numberic'",",'Value':'",SUBSTITUTE(#REF!,"'","\'"),"','TargetCode':''}")</f>
        <v>#REF!</v>
      </c>
    </row>
    <row r="661" ht="12.75">
      <c r="A661" t="e">
        <f>CONCATENATE("{'SheetId':'704aa7e9-976c-49d0-8930-ec9c11dd4753'",",","'UId':'0c56d36a-adb5-4b7c-8b1f-87f5567d9609'",",'Col':",COLUMN(#REF!),",'Row':",ROW(#REF!),",","'ColDynamic':",COLUMN(#REF!),",","'RowDynamic':",ROW(#REF!),",","'Format':'numberic'",",'Value':'",SUBSTITUTE(#REF!,"'","\'"),"','TargetCode':''}")</f>
        <v>#REF!</v>
      </c>
    </row>
    <row r="662" ht="12.75">
      <c r="A662" t="e">
        <f>CONCATENATE("{'SheetId':'704aa7e9-976c-49d0-8930-ec9c11dd4753'",",","'UId':'315bd3bc-b3cb-46a5-b23e-becc4a09998b'",",'Col':",COLUMN(#REF!),",'Row':",ROW(#REF!),",","'ColDynamic':",COLUMN(#REF!),",","'RowDynamic':",ROW(#REF!),",","'Format':'numberic'",",'Value':'",SUBSTITUTE(#REF!,"'","\'"),"','TargetCode':''}")</f>
        <v>#REF!</v>
      </c>
    </row>
    <row r="663" ht="12.75">
      <c r="A663" t="e">
        <f>CONCATENATE("{'SheetId':'704aa7e9-976c-49d0-8930-ec9c11dd4753'",",","'UId':'ac2a8492-3333-4bb8-8693-2cd738b6c93b'",",'Col':",COLUMN(#REF!),",'Row':",ROW(#REF!),",","'ColDynamic':",COLUMN(#REF!),",","'RowDynamic':",ROW(#REF!),",","'Format':'numberic'",",'Value':'",SUBSTITUTE(#REF!,"'","\'"),"','TargetCode':''}")</f>
        <v>#REF!</v>
      </c>
    </row>
    <row r="664" ht="12.75">
      <c r="A664" t="e">
        <f>CONCATENATE("{'SheetId':'704aa7e9-976c-49d0-8930-ec9c11dd4753'",",","'UId':'b1305ee2-3e80-46c4-a6e7-f789b1ef9d9f'",",'Col':",COLUMN(#REF!),",'Row':",ROW(#REF!),",","'ColDynamic':",COLUMN(#REF!),",","'RowDynamic':",ROW(#REF!),",","'Format':'string'",",'Value':'",SUBSTITUTE(#REF!,"'","\'"),"','TargetCode':''}")</f>
        <v>#REF!</v>
      </c>
    </row>
    <row r="665" ht="12.75">
      <c r="A665" t="e">
        <f>CONCATENATE("{'SheetId':'704aa7e9-976c-49d0-8930-ec9c11dd4753'",",","'UId':'cf8d21fa-58b9-4a88-87de-aaa7fecd0862'",",'Col':",COLUMN(#REF!),",'Row':",ROW(#REF!),",","'ColDynamic':",COLUMN(#REF!),",","'RowDynamic':",ROW(#REF!),",","'Format':'string'",",'Value':'",SUBSTITUTE(#REF!,"'","\'"),"','TargetCode':''}")</f>
        <v>#REF!</v>
      </c>
    </row>
    <row r="666" ht="12.75">
      <c r="A666" t="e">
        <f>CONCATENATE("{'SheetId':'704aa7e9-976c-49d0-8930-ec9c11dd4753'",",","'UId':'02e0886e-df8a-4fad-a84f-fd92520a0212'",",'Col':",COLUMN(#REF!),",'Row':",ROW(#REF!),",","'ColDynamic':",COLUMN(#REF!),",","'RowDynamic':",ROW(#REF!),",","'Format':'numberic'",",'Value':'",SUBSTITUTE(#REF!,"'","\'"),"','TargetCode':''}")</f>
        <v>#REF!</v>
      </c>
    </row>
    <row r="667" ht="12.75">
      <c r="A667" t="e">
        <f>CONCATENATE("{'SheetId':'704aa7e9-976c-49d0-8930-ec9c11dd4753'",",","'UId':'451611d3-5b10-45c4-b10a-b6e07c808413'",",'Col':",COLUMN(#REF!),",'Row':",ROW(#REF!),",","'ColDynamic':",COLUMN(#REF!),",","'RowDynamic':",ROW(#REF!),",","'Format':'numberic'",",'Value':'",SUBSTITUTE(#REF!,"'","\'"),"','TargetCode':''}")</f>
        <v>#REF!</v>
      </c>
    </row>
    <row r="668" ht="12.75">
      <c r="A668" t="e">
        <f>CONCATENATE("{'SheetId':'704aa7e9-976c-49d0-8930-ec9c11dd4753'",",","'UId':'f5eb7399-442c-4eef-99c3-7dc0112a7269'",",'Col':",COLUMN(#REF!),",'Row':",ROW(#REF!),",","'ColDynamic':",COLUMN(#REF!),",","'RowDynamic':",ROW(#REF!),",","'Format':'numberic'",",'Value':'",SUBSTITUTE(#REF!,"'","\'"),"','TargetCode':''}")</f>
        <v>#REF!</v>
      </c>
    </row>
    <row r="669" ht="12.75">
      <c r="A669" t="e">
        <f>CONCATENATE("{'SheetId':'704aa7e9-976c-49d0-8930-ec9c11dd4753'",",","'UId':'0bf7c080-0559-4a6b-9dab-f0d590dee752'",",'Col':",COLUMN(#REF!),",'Row':",ROW(#REF!),",","'ColDynamic':",COLUMN(#REF!),",","'RowDynamic':",ROW(#REF!),",","'Format':'numberic'",",'Value':'",SUBSTITUTE(#REF!,"'","\'"),"','TargetCode':''}")</f>
        <v>#REF!</v>
      </c>
    </row>
    <row r="670" ht="12.75">
      <c r="A670" t="e">
        <f>CONCATENATE("{'SheetId':'704aa7e9-976c-49d0-8930-ec9c11dd4753'",",","'UId':'cbdc8da5-8415-4c8c-9e3c-a94de86fdb23'",",'Col':",COLUMN(#REF!),",'Row':",ROW(#REF!),",","'ColDynamic':",COLUMN(#REF!),",","'RowDynamic':",ROW(#REF!),",","'Format':'numberic'",",'Value':'",SUBSTITUTE(#REF!,"'","\'"),"','TargetCode':''}")</f>
        <v>#REF!</v>
      </c>
    </row>
    <row r="671" ht="12.75">
      <c r="A671" t="e">
        <f>CONCATENATE("{'SheetId':'704aa7e9-976c-49d0-8930-ec9c11dd4753'",",","'UId':'d977ec29-0d88-4a8e-8c57-f80d445ae83a'",",'Col':",COLUMN(#REF!),",'Row':",ROW(#REF!),",","'ColDynamic':",COLUMN(#REF!),",","'RowDynamic':",ROW(#REF!),",","'Format':'string'",",'Value':'",SUBSTITUTE(#REF!,"'","\'"),"','TargetCode':''}")</f>
        <v>#REF!</v>
      </c>
    </row>
    <row r="672" ht="12.75">
      <c r="A672" t="e">
        <f>CONCATENATE("{'SheetId':'704aa7e9-976c-49d0-8930-ec9c11dd4753'",",","'UId':'b6512932-4b94-46a7-81ab-f6602d815fe5'",",'Col':",COLUMN(#REF!),",'Row':",ROW(#REF!),",","'ColDynamic':",COLUMN(#REF!),",","'RowDynamic':",ROW(#REF!),",","'Format':'string'",",'Value':'",SUBSTITUTE(#REF!,"'","\'"),"','TargetCode':''}")</f>
        <v>#REF!</v>
      </c>
    </row>
    <row r="673" ht="12.75">
      <c r="A673" t="e">
        <f>CONCATENATE("{'SheetId':'704aa7e9-976c-49d0-8930-ec9c11dd4753'",",","'UId':'cf8fb08a-05c6-4a78-8f41-e27e8ff315c3'",",'Col':",COLUMN(#REF!),",'Row':",ROW(#REF!),",","'ColDynamic':",COLUMN(#REF!),",","'RowDynamic':",ROW(#REF!),",","'Format':'numberic'",",'Value':'",SUBSTITUTE(#REF!,"'","\'"),"','TargetCode':''}")</f>
        <v>#REF!</v>
      </c>
    </row>
    <row r="674" ht="12.75">
      <c r="A674" t="e">
        <f>CONCATENATE("{'SheetId':'704aa7e9-976c-49d0-8930-ec9c11dd4753'",",","'UId':'9b1434ed-d418-430b-94c2-5d112d18c10f'",",'Col':",COLUMN(#REF!),",'Row':",ROW(#REF!),",","'ColDynamic':",COLUMN(#REF!),",","'RowDynamic':",ROW(#REF!),",","'Format':'numberic'",",'Value':'",SUBSTITUTE(#REF!,"'","\'"),"','TargetCode':''}")</f>
        <v>#REF!</v>
      </c>
    </row>
    <row r="675" ht="12.75">
      <c r="A675" t="e">
        <f>CONCATENATE("{'SheetId':'704aa7e9-976c-49d0-8930-ec9c11dd4753'",",","'UId':'78397712-2a29-4925-86c3-5799bfe09bea'",",'Col':",COLUMN(#REF!),",'Row':",ROW(#REF!),",","'ColDynamic':",COLUMN(#REF!),",","'RowDynamic':",ROW(#REF!),",","'Format':'numberic'",",'Value':'",SUBSTITUTE(#REF!,"'","\'"),"','TargetCode':''}")</f>
        <v>#REF!</v>
      </c>
    </row>
    <row r="676" ht="12.75">
      <c r="A676" t="e">
        <f>CONCATENATE("{'SheetId':'704aa7e9-976c-49d0-8930-ec9c11dd4753'",",","'UId':'150aa0cf-0628-4019-8aed-5bbd3fbe57b0'",",'Col':",COLUMN(#REF!),",'Row':",ROW(#REF!),",","'ColDynamic':",COLUMN(#REF!),",","'RowDynamic':",ROW(#REF!),",","'Format':'numberic'",",'Value':'",SUBSTITUTE(#REF!,"'","\'"),"','TargetCode':''}")</f>
        <v>#REF!</v>
      </c>
    </row>
    <row r="677" ht="12.75">
      <c r="A677" t="e">
        <f>CONCATENATE("{'SheetId':'704aa7e9-976c-49d0-8930-ec9c11dd4753'",",","'UId':'994756fe-9a54-4c6b-90d1-57f7bf685e26'",",'Col':",COLUMN(#REF!),",'Row':",ROW(#REF!),",","'ColDynamic':",COLUMN(#REF!),",","'RowDynamic':",ROW(#REF!),",","'Format':'numberic'",",'Value':'",SUBSTITUTE(#REF!,"'","\'"),"','TargetCode':''}")</f>
        <v>#REF!</v>
      </c>
    </row>
    <row r="678" ht="12.75">
      <c r="A678" t="e">
        <f>CONCATENATE("{'SheetId':'704aa7e9-976c-49d0-8930-ec9c11dd4753'",",","'UId':'7eb7f8c5-fe97-4d20-b468-2482b4838b5c'",",'Col':",COLUMN(#REF!),",'Row':",ROW(#REF!),",","'ColDynamic':",COLUMN(#REF!),",","'RowDynamic':",ROW(#REF!),",","'Format':'string'",",'Value':'",SUBSTITUTE(#REF!,"'","\'"),"','TargetCode':''}")</f>
        <v>#REF!</v>
      </c>
    </row>
    <row r="679" ht="12.75">
      <c r="A679" t="e">
        <f>CONCATENATE("{'SheetId':'704aa7e9-976c-49d0-8930-ec9c11dd4753'",",","'UId':'9cdef876-6dc7-4723-aa77-2143fade4c21'",",'Col':",COLUMN(#REF!),",'Row':",ROW(#REF!),",","'ColDynamic':",COLUMN(#REF!),",","'RowDynamic':",ROW(#REF!),",","'Format':'string'",",'Value':'",SUBSTITUTE(#REF!,"'","\'"),"','TargetCode':''}")</f>
        <v>#REF!</v>
      </c>
    </row>
    <row r="680" ht="12.75">
      <c r="A680" t="e">
        <f>CONCATENATE("{'SheetId':'704aa7e9-976c-49d0-8930-ec9c11dd4753'",",","'UId':'8a9cd4ca-dc48-4920-8139-3959bd5433e3'",",'Col':",COLUMN(#REF!),",'Row':",ROW(#REF!),",","'ColDynamic':",COLUMN(#REF!),",","'RowDynamic':",ROW(#REF!),",","'Format':'numberic'",",'Value':'",SUBSTITUTE(#REF!,"'","\'"),"','TargetCode':''}")</f>
        <v>#REF!</v>
      </c>
    </row>
    <row r="681" ht="12.75">
      <c r="A681" t="e">
        <f>CONCATENATE("{'SheetId':'704aa7e9-976c-49d0-8930-ec9c11dd4753'",",","'UId':'f85127d8-cc66-4fbd-a5ce-ae50bc3e0b65'",",'Col':",COLUMN(#REF!),",'Row':",ROW(#REF!),",","'ColDynamic':",COLUMN(#REF!),",","'RowDynamic':",ROW(#REF!),",","'Format':'numberic'",",'Value':'",SUBSTITUTE(#REF!,"'","\'"),"','TargetCode':''}")</f>
        <v>#REF!</v>
      </c>
    </row>
    <row r="682" ht="12.75">
      <c r="A682" t="e">
        <f>CONCATENATE("{'SheetId':'704aa7e9-976c-49d0-8930-ec9c11dd4753'",",","'UId':'467a2930-ca62-4d2c-a8e3-4a6f8c081786'",",'Col':",COLUMN(#REF!),",'Row':",ROW(#REF!),",","'ColDynamic':",COLUMN(#REF!),",","'RowDynamic':",ROW(#REF!),",","'Format':'numberic'",",'Value':'",SUBSTITUTE(#REF!,"'","\'"),"','TargetCode':''}")</f>
        <v>#REF!</v>
      </c>
    </row>
    <row r="683" ht="12.75">
      <c r="A683" t="e">
        <f>CONCATENATE("{'SheetId':'704aa7e9-976c-49d0-8930-ec9c11dd4753'",",","'UId':'45cbfeea-e4d6-4c5f-aa1d-112e4cea0dfa'",",'Col':",COLUMN(#REF!),",'Row':",ROW(#REF!),",","'ColDynamic':",COLUMN(#REF!),",","'RowDynamic':",ROW(#REF!),",","'Format':'numberic'",",'Value':'",SUBSTITUTE(#REF!,"'","\'"),"','TargetCode':''}")</f>
        <v>#REF!</v>
      </c>
    </row>
    <row r="684" ht="12.75">
      <c r="A684" t="e">
        <f>CONCATENATE("{'SheetId':'704aa7e9-976c-49d0-8930-ec9c11dd4753'",",","'UId':'a4e3d600-be68-4218-96ae-91de8408b6ee'",",'Col':",COLUMN(#REF!),",'Row':",ROW(#REF!),",","'ColDynamic':",COLUMN(#REF!),",","'RowDynamic':",ROW(#REF!),",","'Format':'numberic'",",'Value':'",SUBSTITUTE(#REF!,"'","\'"),"','TargetCode':''}")</f>
        <v>#REF!</v>
      </c>
    </row>
    <row r="685" ht="12.75">
      <c r="A685" t="e">
        <f>CONCATENATE("{'SheetId':'704aa7e9-976c-49d0-8930-ec9c11dd4753'",",","'UId':'b504de76-d785-4f21-93f6-58a992c9a37a'",",'Col':",COLUMN(#REF!),",'Row':",ROW(#REF!),",","'ColDynamic':",COLUMN(#REF!),",","'RowDynamic':",ROW(#REF!),",","'Format':'string'",",'Value':'",SUBSTITUTE(#REF!,"'","\'"),"','TargetCode':''}")</f>
        <v>#REF!</v>
      </c>
    </row>
    <row r="686" ht="12.75">
      <c r="A686" t="e">
        <f>CONCATENATE("{'SheetId':'704aa7e9-976c-49d0-8930-ec9c11dd4753'",",","'UId':'4e39f3c8-299c-4fa4-bccd-e391beb1ae47'",",'Col':",COLUMN(#REF!),",'Row':",ROW(#REF!),",","'ColDynamic':",COLUMN(#REF!),",","'RowDynamic':",ROW(#REF!),",","'Format':'string'",",'Value':'",SUBSTITUTE(#REF!,"'","\'"),"','TargetCode':''}")</f>
        <v>#REF!</v>
      </c>
    </row>
    <row r="687" ht="12.75">
      <c r="A687" t="e">
        <f>CONCATENATE("{'SheetId':'704aa7e9-976c-49d0-8930-ec9c11dd4753'",",","'UId':'da76ebd1-7f01-4548-99ae-5432d7669614'",",'Col':",COLUMN(#REF!),",'Row':",ROW(#REF!),",","'ColDynamic':",COLUMN(#REF!),",","'RowDynamic':",ROW(#REF!),",","'Format':'numberic'",",'Value':'",SUBSTITUTE(#REF!,"'","\'"),"','TargetCode':''}")</f>
        <v>#REF!</v>
      </c>
    </row>
    <row r="688" ht="12.75">
      <c r="A688" t="e">
        <f>CONCATENATE("{'SheetId':'704aa7e9-976c-49d0-8930-ec9c11dd4753'",",","'UId':'fb91aea1-b4ba-4359-9381-6c60359e7046'",",'Col':",COLUMN(#REF!),",'Row':",ROW(#REF!),",","'ColDynamic':",COLUMN(#REF!),",","'RowDynamic':",ROW(#REF!),",","'Format':'numberic'",",'Value':'",SUBSTITUTE(#REF!,"'","\'"),"','TargetCode':''}")</f>
        <v>#REF!</v>
      </c>
    </row>
    <row r="689" ht="12.75">
      <c r="A689" t="e">
        <f>CONCATENATE("{'SheetId':'704aa7e9-976c-49d0-8930-ec9c11dd4753'",",","'UId':'28481ae3-5631-4e5b-b8ee-cb9423ef3206'",",'Col':",COLUMN(#REF!),",'Row':",ROW(#REF!),",","'ColDynamic':",COLUMN(#REF!),",","'RowDynamic':",ROW(#REF!),",","'Format':'numberic'",",'Value':'",SUBSTITUTE(#REF!,"'","\'"),"','TargetCode':''}")</f>
        <v>#REF!</v>
      </c>
    </row>
    <row r="690" ht="12.75">
      <c r="A690" t="e">
        <f>CONCATENATE("{'SheetId':'704aa7e9-976c-49d0-8930-ec9c11dd4753'",",","'UId':'fbd11abc-d0ab-4575-a727-f338cccca2ee'",",'Col':",COLUMN(#REF!),",'Row':",ROW(#REF!),",","'ColDynamic':",COLUMN(#REF!),",","'RowDynamic':",ROW(#REF!),",","'Format':'numberic'",",'Value':'",SUBSTITUTE(#REF!,"'","\'"),"','TargetCode':''}")</f>
        <v>#REF!</v>
      </c>
    </row>
    <row r="691" ht="12.75">
      <c r="A691" t="e">
        <f>CONCATENATE("{'SheetId':'704aa7e9-976c-49d0-8930-ec9c11dd4753'",",","'UId':'5dfddc46-791f-41f3-a727-2927adc86c21'",",'Col':",COLUMN(#REF!),",'Row':",ROW(#REF!),",","'ColDynamic':",COLUMN(#REF!),",","'RowDynamic':",ROW(#REF!),",","'Format':'numberic'",",'Value':'",SUBSTITUTE(#REF!,"'","\'"),"','TargetCode':''}")</f>
        <v>#REF!</v>
      </c>
    </row>
    <row r="692" ht="12.75">
      <c r="A692" t="e">
        <f>CONCATENATE("{'SheetId':'704aa7e9-976c-49d0-8930-ec9c11dd4753'",",","'UId':'b83d066f-3531-4449-af5e-33df7348aa7d'",",'Col':",COLUMN(#REF!),",'Row':",ROW(#REF!),",","'ColDynamic':",COLUMN(#REF!),",","'RowDynamic':",ROW(#REF!),",","'Format':'string'",",'Value':'",SUBSTITUTE(#REF!,"'","\'"),"','TargetCode':''}")</f>
        <v>#REF!</v>
      </c>
    </row>
    <row r="693" ht="12.75">
      <c r="A693" t="e">
        <f>CONCATENATE("{'SheetId':'704aa7e9-976c-49d0-8930-ec9c11dd4753'",",","'UId':'350c10ba-a1f4-419c-800e-27ef8ddb9193'",",'Col':",COLUMN(#REF!),",'Row':",ROW(#REF!),",","'ColDynamic':",COLUMN(#REF!),",","'RowDynamic':",ROW(#REF!),",","'Format':'string'",",'Value':'",SUBSTITUTE(#REF!,"'","\'"),"','TargetCode':''}")</f>
        <v>#REF!</v>
      </c>
    </row>
    <row r="694" ht="12.75">
      <c r="A694" t="e">
        <f>CONCATENATE("{'SheetId':'704aa7e9-976c-49d0-8930-ec9c11dd4753'",",","'UId':'b657a21f-dd7f-4d3c-aedd-63ba5820945d'",",'Col':",COLUMN(#REF!),",'Row':",ROW(#REF!),",","'ColDynamic':",COLUMN(#REF!),",","'RowDynamic':",ROW(#REF!),",","'Format':'numberic'",",'Value':'",SUBSTITUTE(#REF!,"'","\'"),"','TargetCode':''}")</f>
        <v>#REF!</v>
      </c>
    </row>
    <row r="695" ht="12.75">
      <c r="A695" t="e">
        <f>CONCATENATE("{'SheetId':'704aa7e9-976c-49d0-8930-ec9c11dd4753'",",","'UId':'5d3c6519-ea0b-4fb8-9198-b47b38876183'",",'Col':",COLUMN(#REF!),",'Row':",ROW(#REF!),",","'ColDynamic':",COLUMN(#REF!),",","'RowDynamic':",ROW(#REF!),",","'Format':'numberic'",",'Value':'",SUBSTITUTE(#REF!,"'","\'"),"','TargetCode':''}")</f>
        <v>#REF!</v>
      </c>
    </row>
    <row r="696" ht="12.75">
      <c r="A696" t="e">
        <f>CONCATENATE("{'SheetId':'704aa7e9-976c-49d0-8930-ec9c11dd4753'",",","'UId':'92ff4940-8c73-4939-85bb-24d75016a747'",",'Col':",COLUMN(#REF!),",'Row':",ROW(#REF!),",","'ColDynamic':",COLUMN(#REF!),",","'RowDynamic':",ROW(#REF!),",","'Format':'numberic'",",'Value':'",SUBSTITUTE(#REF!,"'","\'"),"','TargetCode':''}")</f>
        <v>#REF!</v>
      </c>
    </row>
    <row r="697" ht="12.75">
      <c r="A697" t="e">
        <f>CONCATENATE("{'SheetId':'704aa7e9-976c-49d0-8930-ec9c11dd4753'",",","'UId':'40d55e39-4ebf-4aac-8658-e2fa7193f766'",",'Col':",COLUMN(#REF!),",'Row':",ROW(#REF!),",","'ColDynamic':",COLUMN(#REF!),",","'RowDynamic':",ROW(#REF!),",","'Format':'numberic'",",'Value':'",SUBSTITUTE(#REF!,"'","\'"),"','TargetCode':''}")</f>
        <v>#REF!</v>
      </c>
    </row>
    <row r="698" ht="12.75">
      <c r="A698" t="e">
        <f>CONCATENATE("{'SheetId':'704aa7e9-976c-49d0-8930-ec9c11dd4753'",",","'UId':'2561ce78-6942-44ae-90ee-92a3366655e7'",",'Col':",COLUMN(#REF!),",'Row':",ROW(#REF!),",","'ColDynamic':",COLUMN(#REF!),",","'RowDynamic':",ROW(#REF!),",","'Format':'numberic'",",'Value':'",SUBSTITUTE(#REF!,"'","\'"),"','TargetCode':''}")</f>
        <v>#REF!</v>
      </c>
    </row>
    <row r="699" ht="12.75">
      <c r="A699" t="e">
        <f>CONCATENATE("{'SheetId':'704aa7e9-976c-49d0-8930-ec9c11dd4753'",",","'UId':'43f3dd43-a428-47ed-a73b-1b8b7aeef1c9'",",'Col':",COLUMN(#REF!),",'Row':",ROW(#REF!),",","'Format':'numberic'",",'Value':'",SUBSTITUTE(#REF!,"'","\'"),"','TargetCode':''}")</f>
        <v>#REF!</v>
      </c>
    </row>
    <row r="700" ht="12.75">
      <c r="A700" t="e">
        <f>CONCATENATE("{'SheetId':'704aa7e9-976c-49d0-8930-ec9c11dd4753'",",","'UId':'ee43cbc8-acce-4dca-b839-85741247fca9'",",'Col':",COLUMN(#REF!),",'Row':",ROW(#REF!),",","'Format':'numberic'",",'Value':'",SUBSTITUTE(#REF!,"'","\'"),"','TargetCode':''}")</f>
        <v>#REF!</v>
      </c>
    </row>
    <row r="701" ht="12.75">
      <c r="A701" t="e">
        <f>CONCATENATE("{'SheetId':'704aa7e9-976c-49d0-8930-ec9c11dd4753'",",","'UId':'f5e10079-4127-4d8b-b718-57a9576ddcfe'",",'Col':",COLUMN(#REF!),",'Row':",ROW(#REF!),",","'Format':'numberic'",",'Value':'",SUBSTITUTE(#REF!,"'","\'"),"','TargetCode':''}")</f>
        <v>#REF!</v>
      </c>
    </row>
    <row r="702" ht="12.75">
      <c r="A702" t="e">
        <f>CONCATENATE("{'SheetId':'704aa7e9-976c-49d0-8930-ec9c11dd4753'",",","'UId':'9d127bad-df49-424e-aff5-11e9bfa24def'",",'Col':",COLUMN(#REF!),",'Row':",ROW(#REF!),",","'Format':'numberic'",",'Value':'",SUBSTITUTE(#REF!,"'","\'"),"','TargetCode':''}")</f>
        <v>#REF!</v>
      </c>
    </row>
    <row r="703" ht="12.75">
      <c r="A703" t="e">
        <f>CONCATENATE("{'SheetId':'704aa7e9-976c-49d0-8930-ec9c11dd4753'",",","'UId':'c94e1fd0-8580-48b2-b13f-e44a2bcbc505'",",'Col':",COLUMN(#REF!),",'Row':",ROW(#REF!),",","'Format':'numberic'",",'Value':'",SUBSTITUTE(#REF!,"'","\'"),"','TargetCode':''}")</f>
        <v>#REF!</v>
      </c>
    </row>
    <row r="704" ht="12.75">
      <c r="A704" t="e">
        <f>CONCATENATE("{'SheetId':'704aa7e9-976c-49d0-8930-ec9c11dd4753'",",","'UId':'562df118-293f-444f-bb74-894a86a6b1a1'",",'Col':",COLUMN(#REF!),",'Row':",ROW(#REF!),",","'Format':'numberic'",",'Value':'",SUBSTITUTE(#REF!,"'","\'"),"','TargetCode':''}")</f>
        <v>#REF!</v>
      </c>
    </row>
    <row r="705" ht="12.75">
      <c r="A705" t="e">
        <f>CONCATENATE("{'SheetId':'704aa7e9-976c-49d0-8930-ec9c11dd4753'",",","'UId':'d7de1efc-b821-4745-abcd-75ff2777a2ba'",",'Col':",COLUMN(#REF!),",'Row':",ROW(#REF!),",","'Format':'numberic'",",'Value':'",SUBSTITUTE(#REF!,"'","\'"),"','TargetCode':''}")</f>
        <v>#REF!</v>
      </c>
    </row>
    <row r="706" ht="12.75">
      <c r="A706" t="e">
        <f>CONCATENATE("{'SheetId':'704aa7e9-976c-49d0-8930-ec9c11dd4753'",",","'UId':'82b6c89b-c4eb-4782-be48-e4d7751c3212'",",'Col':",COLUMN(#REF!),",'Row':",ROW(#REF!),",","'Format':'numberic'",",'Value':'",SUBSTITUTE(#REF!,"'","\'"),"','TargetCode':''}")</f>
        <v>#REF!</v>
      </c>
    </row>
    <row r="707" ht="12.75">
      <c r="A707" t="e">
        <f>CONCATENATE("{'SheetId':'704aa7e9-976c-49d0-8930-ec9c11dd4753'",",","'UId':'9af89d94-5f2f-4c54-a5ef-171b90df5584'",",'Col':",COLUMN(#REF!),",'Row':",ROW(#REF!),",","'Format':'numberic'",",'Value':'",SUBSTITUTE(#REF!,"'","\'"),"','TargetCode':''}")</f>
        <v>#REF!</v>
      </c>
    </row>
    <row r="708" ht="12.75">
      <c r="A708" t="e">
        <f>CONCATENATE("{'SheetId':'704aa7e9-976c-49d0-8930-ec9c11dd4753'",",","'UId':'06ebaffb-48b1-4f91-9b01-1574968cadc8'",",'Col':",COLUMN(#REF!),",'Row':",ROW(#REF!),",","'Format':'numberic'",",'Value':'",SUBSTITUTE(#REF!,"'","\'"),"','TargetCode':''}")</f>
        <v>#REF!</v>
      </c>
    </row>
    <row r="709" ht="12.75">
      <c r="A709" t="e">
        <f>CONCATENATE("{'SheetId':'704aa7e9-976c-49d0-8930-ec9c11dd4753'",",","'UId':'8d4e50c5-6fca-4120-957c-f27b973ac801'",",'Col':",COLUMN(#REF!),",'Row':",ROW(#REF!),",","'ColDynamic':",COLUMN(#REF!),",","'RowDynamic':",ROW(#REF!),",","'Format':'string'",",'Value':'",SUBSTITUTE(#REF!,"'","\'"),"','TargetCode':''}")</f>
        <v>#REF!</v>
      </c>
    </row>
    <row r="710" ht="12.75">
      <c r="A710" t="e">
        <f>CONCATENATE("{'SheetId':'704aa7e9-976c-49d0-8930-ec9c11dd4753'",",","'UId':'cb96d995-455e-4e25-a60d-cdca1745d8bc'",",'Col':",COLUMN(#REF!),",'Row':",ROW(#REF!),",","'ColDynamic':",COLUMN(#REF!),",","'RowDynamic':",ROW(#REF!),",","'Format':'string'",",'Value':'",SUBSTITUTE(#REF!,"'","\'"),"','TargetCode':''}")</f>
        <v>#REF!</v>
      </c>
    </row>
    <row r="711" ht="12.75">
      <c r="A711" t="e">
        <f>CONCATENATE("{'SheetId':'704aa7e9-976c-49d0-8930-ec9c11dd4753'",",","'UId':'39ac2913-cfc7-486d-9654-6715727fc13d'",",'Col':",COLUMN(#REF!),",'Row':",ROW(#REF!),",","'ColDynamic':",COLUMN(#REF!),",","'RowDynamic':",ROW(#REF!),",","'Format':'numberic'",",'Value':'",SUBSTITUTE(#REF!,"'","\'"),"','TargetCode':''}")</f>
        <v>#REF!</v>
      </c>
    </row>
    <row r="712" ht="12.75">
      <c r="A712" t="e">
        <f>CONCATENATE("{'SheetId':'704aa7e9-976c-49d0-8930-ec9c11dd4753'",",","'UId':'12862020-a36f-457c-bf39-dc3b3cbff690'",",'Col':",COLUMN(#REF!),",'Row':",ROW(#REF!),",","'ColDynamic':",COLUMN(#REF!),",","'RowDynamic':",ROW(#REF!),",","'Format':'numberic'",",'Value':'",SUBSTITUTE(#REF!,"'","\'"),"','TargetCode':''}")</f>
        <v>#REF!</v>
      </c>
    </row>
    <row r="713" ht="12.75">
      <c r="A713" t="e">
        <f>CONCATENATE("{'SheetId':'704aa7e9-976c-49d0-8930-ec9c11dd4753'",",","'UId':'6b59c9f1-2538-41eb-b593-fbf1d19a9949'",",'Col':",COLUMN(#REF!),",'Row':",ROW(#REF!),",","'ColDynamic':",COLUMN(#REF!),",","'RowDynamic':",ROW(#REF!),",","'Format':'numberic'",",'Value':'",SUBSTITUTE(#REF!,"'","\'"),"','TargetCode':''}")</f>
        <v>#REF!</v>
      </c>
    </row>
    <row r="714" ht="12.75">
      <c r="A714" t="e">
        <f>CONCATENATE("{'SheetId':'704aa7e9-976c-49d0-8930-ec9c11dd4753'",",","'UId':'1daffe3c-8540-4041-b248-bd293eb3b6a8'",",'Col':",COLUMN(#REF!),",'Row':",ROW(#REF!),",","'ColDynamic':",COLUMN(#REF!),",","'RowDynamic':",ROW(#REF!),",","'Format':'numberic'",",'Value':'",SUBSTITUTE(#REF!,"'","\'"),"','TargetCode':''}")</f>
        <v>#REF!</v>
      </c>
    </row>
    <row r="715" ht="12.75">
      <c r="A715" t="e">
        <f>CONCATENATE("{'SheetId':'704aa7e9-976c-49d0-8930-ec9c11dd4753'",",","'UId':'df62815e-1c91-4059-be71-fa50e634fffb'",",'Col':",COLUMN(#REF!),",'Row':",ROW(#REF!),",","'ColDynamic':",COLUMN(#REF!),",","'RowDynamic':",ROW(#REF!),",","'Format':'numberic'",",'Value':'",SUBSTITUTE(#REF!,"'","\'"),"','TargetCode':''}")</f>
        <v>#REF!</v>
      </c>
    </row>
    <row r="716" ht="12.75">
      <c r="A716" t="e">
        <f>CONCATENATE("{'SheetId':'704aa7e9-976c-49d0-8930-ec9c11dd4753'",",","'UId':'e1f53408-b859-4c14-837b-9f97884502a8'",",'Col':",COLUMN(#REF!),",'Row':",ROW(#REF!),",","'Format':'numberic'",",'Value':'",SUBSTITUTE(#REF!,"'","\'"),"','TargetCode':''}")</f>
        <v>#REF!</v>
      </c>
    </row>
    <row r="717" ht="12.75">
      <c r="A717" t="e">
        <f>CONCATENATE("{'SheetId':'704aa7e9-976c-49d0-8930-ec9c11dd4753'",",","'UId':'41152582-a5fc-4f56-8e27-a6d405c9c1f1'",",'Col':",COLUMN(#REF!),",'Row':",ROW(#REF!),",","'Format':'numberic'",",'Value':'",SUBSTITUTE(#REF!,"'","\'"),"','TargetCode':''}")</f>
        <v>#REF!</v>
      </c>
    </row>
    <row r="718" ht="12.75">
      <c r="A718" t="e">
        <f>CONCATENATE("{'SheetId':'704aa7e9-976c-49d0-8930-ec9c11dd4753'",",","'UId':'ffa1fd67-eae6-495c-ad39-5e01c5dcdd53'",",'Col':",COLUMN(#REF!),",'Row':",ROW(#REF!),",","'Format':'numberic'",",'Value':'",SUBSTITUTE(#REF!,"'","\'"),"','TargetCode':''}")</f>
        <v>#REF!</v>
      </c>
    </row>
    <row r="719" ht="12.75">
      <c r="A719" t="e">
        <f>CONCATENATE("{'SheetId':'704aa7e9-976c-49d0-8930-ec9c11dd4753'",",","'UId':'848c53b9-e03f-4db0-bfca-c48dca3d4373'",",'Col':",COLUMN(#REF!),",'Row':",ROW(#REF!),",","'Format':'numberic'",",'Value':'",SUBSTITUTE(#REF!,"'","\'"),"','TargetCode':''}")</f>
        <v>#REF!</v>
      </c>
    </row>
    <row r="720" ht="12.75">
      <c r="A720" t="e">
        <f>CONCATENATE("{'SheetId':'704aa7e9-976c-49d0-8930-ec9c11dd4753'",",","'UId':'8a643879-d4b2-4615-91ce-d8a7e5c0f52d'",",'Col':",COLUMN(#REF!),",'Row':",ROW(#REF!),",","'Format':'numberic'",",'Value':'",SUBSTITUTE(#REF!,"'","\'"),"','TargetCode':''}")</f>
        <v>#REF!</v>
      </c>
    </row>
    <row r="721" ht="12.75">
      <c r="A721" t="e">
        <f>CONCATENATE("{'SheetId':'17038ef5-b0c0-4cdd-a0b3-0439344f47e6'",",","'UId':'d3598d7f-b99c-47de-a946-3780e5aaa44d'",",'Col':",COLUMN(#REF!),",'Row':",ROW(#REF!),",","'Format':'numberic'",",'Value':'",SUBSTITUTE(#REF!,"'","\'"),"','TargetCode':''}")</f>
        <v>#REF!</v>
      </c>
    </row>
    <row r="722" ht="12.75">
      <c r="A722" t="e">
        <f>CONCATENATE("{'SheetId':'17038ef5-b0c0-4cdd-a0b3-0439344f47e6'",",","'UId':'89a33e01-0c3c-4523-aaed-7c213432c0f3'",",'Col':",COLUMN(#REF!),",'Row':",ROW(#REF!),",","'Format':'numberic'",",'Value':'",SUBSTITUTE(#REF!,"'","\'"),"','TargetCode':''}")</f>
        <v>#REF!</v>
      </c>
    </row>
    <row r="723" ht="12.75">
      <c r="A723" t="e">
        <f>CONCATENATE("{'SheetId':'17038ef5-b0c0-4cdd-a0b3-0439344f47e6'",",","'UId':'75ce2163-e549-446f-9595-3ff88fb46187'",",'Col':",COLUMN(#REF!),",'Row':",ROW(#REF!),",","'Format':'numberic'",",'Value':'",SUBSTITUTE(#REF!,"'","\'"),"','TargetCode':''}")</f>
        <v>#REF!</v>
      </c>
    </row>
    <row r="724" ht="12.75">
      <c r="A724" t="e">
        <f>CONCATENATE("{'SheetId':'17038ef5-b0c0-4cdd-a0b3-0439344f47e6'",",","'UId':'64c81976-b294-4de5-ad8e-e59069ed5ca7'",",'Col':",COLUMN(#REF!),",'Row':",ROW(#REF!),",","'Format':'numberic'",",'Value':'",SUBSTITUTE(#REF!,"'","\'"),"','TargetCode':''}")</f>
        <v>#REF!</v>
      </c>
    </row>
    <row r="725" ht="12.75">
      <c r="A725" t="e">
        <f>CONCATENATE("{'SheetId':'17038ef5-b0c0-4cdd-a0b3-0439344f47e6'",",","'UId':'4600ecc0-c5e9-4760-96c2-9eefb3952371'",",'Col':",COLUMN(#REF!),",'Row':",ROW(#REF!),",","'Format':'numberic'",",'Value':'",SUBSTITUTE(#REF!,"'","\'"),"','TargetCode':''}")</f>
        <v>#REF!</v>
      </c>
    </row>
    <row r="726" ht="12.75">
      <c r="A726" t="e">
        <f>CONCATENATE("{'SheetId':'17038ef5-b0c0-4cdd-a0b3-0439344f47e6'",",","'UId':'d9593858-28fd-4ac3-baee-be4d8f0a6b97'",",'Col':",COLUMN(#REF!),",'Row':",ROW(#REF!),",","'Format':'numberic'",",'Value':'",SUBSTITUTE(#REF!,"'","\'"),"','TargetCode':''}")</f>
        <v>#REF!</v>
      </c>
    </row>
    <row r="727" ht="12.75">
      <c r="A727" t="e">
        <f>CONCATENATE("{'SheetId':'17038ef5-b0c0-4cdd-a0b3-0439344f47e6'",",","'UId':'d9e7fd8b-ec79-41a7-b789-8067f4f84a57'",",'Col':",COLUMN(#REF!),",'Row':",ROW(#REF!),",","'Format':'numberic'",",'Value':'",SUBSTITUTE(#REF!,"'","\'"),"','TargetCode':''}")</f>
        <v>#REF!</v>
      </c>
    </row>
    <row r="728" ht="12.75">
      <c r="A728" t="e">
        <f>CONCATENATE("{'SheetId':'17038ef5-b0c0-4cdd-a0b3-0439344f47e6'",",","'UId':'6d522944-59c1-4b80-a6a9-0a6839901876'",",'Col':",COLUMN(#REF!),",'Row':",ROW(#REF!),",","'Format':'numberic'",",'Value':'",SUBSTITUTE(#REF!,"'","\'"),"','TargetCode':''}")</f>
        <v>#REF!</v>
      </c>
    </row>
    <row r="729" ht="12.75">
      <c r="A729" t="e">
        <f>CONCATENATE("{'SheetId':'17038ef5-b0c0-4cdd-a0b3-0439344f47e6'",",","'UId':'22677e63-5680-4c53-b3a7-a608e7c538ab'",",'Col':",COLUMN(#REF!),",'Row':",ROW(#REF!),",","'Format':'numberic'",",'Value':'",SUBSTITUTE(#REF!,"'","\'"),"','TargetCode':''}")</f>
        <v>#REF!</v>
      </c>
    </row>
    <row r="730" ht="12.75">
      <c r="A730" t="e">
        <f>CONCATENATE("{'SheetId':'17038ef5-b0c0-4cdd-a0b3-0439344f47e6'",",","'UId':'7acdd36a-52be-46af-a4b8-961f14a865dd'",",'Col':",COLUMN(#REF!),",'Row':",ROW(#REF!),",","'Format':'numberic'",",'Value':'",SUBSTITUTE(#REF!,"'","\'"),"','TargetCode':''}")</f>
        <v>#REF!</v>
      </c>
    </row>
    <row r="731" ht="12.75">
      <c r="A731" t="e">
        <f>CONCATENATE("{'SheetId':'17038ef5-b0c0-4cdd-a0b3-0439344f47e6'",",","'UId':'deb219ed-3c66-4219-978d-a23b19c7be0e'",",'Col':",COLUMN(#REF!),",'Row':",ROW(#REF!),",","'Format':'numberic'",",'Value':'",SUBSTITUTE(#REF!,"'","\'"),"','TargetCode':''}")</f>
        <v>#REF!</v>
      </c>
    </row>
    <row r="732" ht="12.75">
      <c r="A732" t="e">
        <f>CONCATENATE("{'SheetId':'17038ef5-b0c0-4cdd-a0b3-0439344f47e6'",",","'UId':'25ced59f-a3f2-491f-8001-fd2d12e54059'",",'Col':",COLUMN(#REF!),",'Row':",ROW(#REF!),",","'Format':'numberic'",",'Value':'",SUBSTITUTE(#REF!,"'","\'"),"','TargetCode':''}")</f>
        <v>#REF!</v>
      </c>
    </row>
    <row r="733" ht="12.75">
      <c r="A733" t="e">
        <f>CONCATENATE("{'SheetId':'17038ef5-b0c0-4cdd-a0b3-0439344f47e6'",",","'UId':'75907e69-7b6f-4322-b992-eed3748419d9'",",'Col':",COLUMN(#REF!),",'Row':",ROW(#REF!),",","'Format':'numberic'",",'Value':'",SUBSTITUTE(#REF!,"'","\'"),"','TargetCode':''}")</f>
        <v>#REF!</v>
      </c>
    </row>
    <row r="734" ht="12.75">
      <c r="A734" t="e">
        <f>CONCATENATE("{'SheetId':'17038ef5-b0c0-4cdd-a0b3-0439344f47e6'",",","'UId':'df8a7b02-3a7a-4ac9-b9f6-1d8de594021f'",",'Col':",COLUMN(#REF!),",'Row':",ROW(#REF!),",","'Format':'numberic'",",'Value':'",SUBSTITUTE(#REF!,"'","\'"),"','TargetCode':''}")</f>
        <v>#REF!</v>
      </c>
    </row>
    <row r="735" ht="12.75">
      <c r="A735" t="e">
        <f>CONCATENATE("{'SheetId':'17038ef5-b0c0-4cdd-a0b3-0439344f47e6'",",","'UId':'fc1f9195-3048-43c6-ab00-3355dd2f3581'",",'Col':",COLUMN(#REF!),",'Row':",ROW(#REF!),",","'Format':'numberic'",",'Value':'",SUBSTITUTE(#REF!,"'","\'"),"','TargetCode':''}")</f>
        <v>#REF!</v>
      </c>
    </row>
    <row r="736" ht="12.75">
      <c r="A736" t="e">
        <f>CONCATENATE("{'SheetId':'17038ef5-b0c0-4cdd-a0b3-0439344f47e6'",",","'UId':'c6bd1aa7-b873-4c67-a2c6-960a2e8f25b7'",",'Col':",COLUMN(#REF!),",'Row':",ROW(#REF!),",","'Format':'numberic'",",'Value':'",SUBSTITUTE(#REF!,"'","\'"),"','TargetCode':''}")</f>
        <v>#REF!</v>
      </c>
    </row>
    <row r="737" ht="12.75">
      <c r="A737" t="e">
        <f>CONCATENATE("{'SheetId':'17038ef5-b0c0-4cdd-a0b3-0439344f47e6'",",","'UId':'345b4213-7d25-4e4a-b681-6f0751d59607'",",'Col':",COLUMN(#REF!),",'Row':",ROW(#REF!),",","'Format':'numberic'",",'Value':'",SUBSTITUTE(#REF!,"'","\'"),"','TargetCode':''}")</f>
        <v>#REF!</v>
      </c>
    </row>
    <row r="738" ht="12.75">
      <c r="A738" t="e">
        <f>CONCATENATE("{'SheetId':'17038ef5-b0c0-4cdd-a0b3-0439344f47e6'",",","'UId':'616c3ae3-0b6c-45aa-9562-79badf291641'",",'Col':",COLUMN(#REF!),",'Row':",ROW(#REF!),",","'Format':'numberic'",",'Value':'",SUBSTITUTE(#REF!,"'","\'"),"','TargetCode':''}")</f>
        <v>#REF!</v>
      </c>
    </row>
    <row r="739" ht="12.75">
      <c r="A739" t="e">
        <f>CONCATENATE("{'SheetId':'17038ef5-b0c0-4cdd-a0b3-0439344f47e6'",",","'UId':'98afffc9-bde2-4ca5-9bad-241dae7597f5'",",'Col':",COLUMN(#REF!),",'Row':",ROW(#REF!),",","'Format':'numberic'",",'Value':'",SUBSTITUTE(#REF!,"'","\'"),"','TargetCode':''}")</f>
        <v>#REF!</v>
      </c>
    </row>
    <row r="740" ht="12.75">
      <c r="A740" t="e">
        <f>CONCATENATE("{'SheetId':'17038ef5-b0c0-4cdd-a0b3-0439344f47e6'",",","'UId':'528538fb-5a26-4894-bf45-d22045fea469'",",'Col':",COLUMN(#REF!),",'Row':",ROW(#REF!),",","'Format':'numberic'",",'Value':'",SUBSTITUTE(#REF!,"'","\'"),"','TargetCode':''}")</f>
        <v>#REF!</v>
      </c>
    </row>
    <row r="741" ht="12.75">
      <c r="A741" t="e">
        <f>CONCATENATE("{'SheetId':'17038ef5-b0c0-4cdd-a0b3-0439344f47e6'",",","'UId':'5c6952c8-5212-40a7-87b6-34ffc3a06f4b'",",'Col':",COLUMN(#REF!),",'Row':",ROW(#REF!),",","'ColDynamic':",COLUMN(#REF!),",","'RowDynamic':",ROW(#REF!),",","'Format':'string'",",'Value':'",SUBSTITUTE(#REF!,"'","\'"),"','TargetCode':''}")</f>
        <v>#REF!</v>
      </c>
    </row>
    <row r="742" ht="12.75">
      <c r="A742" t="e">
        <f>CONCATENATE("{'SheetId':'17038ef5-b0c0-4cdd-a0b3-0439344f47e6'",",","'UId':'34af04fb-dd1d-454b-8789-df3c819f4b68'",",'Col':",COLUMN(#REF!),",'Row':",ROW(#REF!),",","'ColDynamic':",COLUMN(#REF!),",","'RowDynamic':",ROW(#REF!),",","'Format':'string'",",'Value':'",SUBSTITUTE(#REF!,"'","\'"),"','TargetCode':''}")</f>
        <v>#REF!</v>
      </c>
    </row>
    <row r="743" ht="12.75">
      <c r="A743" t="e">
        <f>CONCATENATE("{'SheetId':'17038ef5-b0c0-4cdd-a0b3-0439344f47e6'",",","'UId':'74e6b0b7-7c73-46ae-9f1e-f19d3faf7f28'",",'Col':",COLUMN(#REF!),",'Row':",ROW(#REF!),",","'ColDynamic':",COLUMN(#REF!),",","'RowDynamic':",ROW(#REF!),",","'Format':'numberic'",",'Value':'",SUBSTITUTE(#REF!,"'","\'"),"','TargetCode':''}")</f>
        <v>#REF!</v>
      </c>
    </row>
    <row r="744" ht="12.75">
      <c r="A744" t="e">
        <f>CONCATENATE("{'SheetId':'17038ef5-b0c0-4cdd-a0b3-0439344f47e6'",",","'UId':'6048d942-0253-4930-9e82-589c4337cfb8'",",'Col':",COLUMN(#REF!),",'Row':",ROW(#REF!),",","'ColDynamic':",COLUMN(#REF!),",","'RowDynamic':",ROW(#REF!),",","'Format':'numberic'",",'Value':'",SUBSTITUTE(#REF!,"'","\'"),"','TargetCode':''}")</f>
        <v>#REF!</v>
      </c>
    </row>
    <row r="745" ht="12.75">
      <c r="A745" t="e">
        <f>CONCATENATE("{'SheetId':'17038ef5-b0c0-4cdd-a0b3-0439344f47e6'",",","'UId':'54a552e4-c716-4231-a7e9-f4d27df5a39e'",",'Col':",COLUMN(#REF!),",'Row':",ROW(#REF!),",","'ColDynamic':",COLUMN(#REF!),",","'RowDynamic':",ROW(#REF!),",","'Format':'numberic'",",'Value':'",SUBSTITUTE(#REF!,"'","\'"),"','TargetCode':''}")</f>
        <v>#REF!</v>
      </c>
    </row>
    <row r="746" ht="12.75">
      <c r="A746" t="e">
        <f>CONCATENATE("{'SheetId':'17038ef5-b0c0-4cdd-a0b3-0439344f47e6'",",","'UId':'b2f7144d-a9e5-4d78-b7c5-428bf343f0ad'",",'Col':",COLUMN(#REF!),",'Row':",ROW(#REF!),",","'ColDynamic':",COLUMN(#REF!),",","'RowDynamic':",ROW(#REF!),",","'Format':'numberic'",",'Value':'",SUBSTITUTE(#REF!,"'","\'"),"','TargetCode':''}")</f>
        <v>#REF!</v>
      </c>
    </row>
    <row r="747" ht="12.75">
      <c r="A747" t="e">
        <f>CONCATENATE("{'SheetId':'17038ef5-b0c0-4cdd-a0b3-0439344f47e6'",",","'UId':'aa49e802-c50b-484d-b04d-584ad9529afb'",",'Col':",COLUMN(#REF!),",'Row':",ROW(#REF!),",","'ColDynamic':",COLUMN(#REF!),",","'RowDynamic':",ROW(#REF!),",","'Format':'numberic'",",'Value':'",SUBSTITUTE(#REF!,"'","\'"),"','TargetCode':''}")</f>
        <v>#REF!</v>
      </c>
    </row>
    <row r="748" ht="12.75">
      <c r="A748" t="e">
        <f>CONCATENATE("{'SheetId':'17038ef5-b0c0-4cdd-a0b3-0439344f47e6'",",","'UId':'a6de6eaf-26cd-4162-88db-d6cdfef54835'",",'Col':",COLUMN(#REF!),",'Row':",ROW(#REF!),",","'Format':'numberic'",",'Value':'",SUBSTITUTE(#REF!,"'","\'"),"','TargetCode':''}")</f>
        <v>#REF!</v>
      </c>
    </row>
    <row r="749" ht="12.75">
      <c r="A749" t="e">
        <f>CONCATENATE("{'SheetId':'17038ef5-b0c0-4cdd-a0b3-0439344f47e6'",",","'UId':'6bdaf205-8ec4-4b83-9d88-0e70b037cdf1'",",'Col':",COLUMN(#REF!),",'Row':",ROW(#REF!),",","'Format':'numberic'",",'Value':'",SUBSTITUTE(#REF!,"'","\'"),"','TargetCode':''}")</f>
        <v>#REF!</v>
      </c>
    </row>
    <row r="750" ht="12.75">
      <c r="A750" t="e">
        <f>CONCATENATE("{'SheetId':'17038ef5-b0c0-4cdd-a0b3-0439344f47e6'",",","'UId':'c001d550-589a-4c35-b0e7-3ce937f02515'",",'Col':",COLUMN(#REF!),",'Row':",ROW(#REF!),",","'Format':'numberic'",",'Value':'",SUBSTITUTE(#REF!,"'","\'"),"','TargetCode':''}")</f>
        <v>#REF!</v>
      </c>
    </row>
    <row r="751" ht="12.75">
      <c r="A751" t="e">
        <f>CONCATENATE("{'SheetId':'17038ef5-b0c0-4cdd-a0b3-0439344f47e6'",",","'UId':'2e84c07d-a6e0-4e0f-8a95-cf0814cf96f8'",",'Col':",COLUMN(#REF!),",'Row':",ROW(#REF!),",","'Format':'numberic'",",'Value':'",SUBSTITUTE(#REF!,"'","\'"),"','TargetCode':''}")</f>
        <v>#REF!</v>
      </c>
    </row>
    <row r="752" ht="12.75">
      <c r="A752" t="e">
        <f>CONCATENATE("{'SheetId':'17038ef5-b0c0-4cdd-a0b3-0439344f47e6'",",","'UId':'beaa7b51-6956-4438-b5ae-eab5d6905b91'",",'Col':",COLUMN(#REF!),",'Row':",ROW(#REF!),",","'Format':'numberic'",",'Value':'",SUBSTITUTE(#REF!,"'","\'"),"','TargetCode':''}")</f>
        <v>#REF!</v>
      </c>
    </row>
    <row r="753" ht="12.75">
      <c r="A753" t="e">
        <f>CONCATENATE("{'SheetId':'17038ef5-b0c0-4cdd-a0b3-0439344f47e6'",",","'UId':'0ec10142-5e89-410b-91f8-c651e89730af'",",'Col':",COLUMN(#REF!),",'Row':",ROW(#REF!),",","'ColDynamic':",COLUMN(#REF!),",","'RowDynamic':",ROW(#REF!),",","'Format':'string'",",'Value':'",SUBSTITUTE(#REF!,"'","\'"),"','TargetCode':''}")</f>
        <v>#REF!</v>
      </c>
    </row>
    <row r="754" ht="12.75">
      <c r="A754" t="e">
        <f>CONCATENATE("{'SheetId':'17038ef5-b0c0-4cdd-a0b3-0439344f47e6'",",","'UId':'866d8025-cbf6-42de-b965-6716e2f56b8c'",",'Col':",COLUMN(#REF!),",'Row':",ROW(#REF!),",","'ColDynamic':",COLUMN(#REF!),",","'RowDynamic':",ROW(#REF!),",","'Format':'string'",",'Value':'",SUBSTITUTE(#REF!,"'","\'"),"','TargetCode':''}")</f>
        <v>#REF!</v>
      </c>
    </row>
    <row r="755" ht="12.75">
      <c r="A755" t="e">
        <f>CONCATENATE("{'SheetId':'17038ef5-b0c0-4cdd-a0b3-0439344f47e6'",",","'UId':'f1ea9c36-7383-47ed-a903-851df4ae3030'",",'Col':",COLUMN(#REF!),",'Row':",ROW(#REF!),",","'ColDynamic':",COLUMN(#REF!),",","'RowDynamic':",ROW(#REF!),",","'Format':'numberic'",",'Value':'",SUBSTITUTE(#REF!,"'","\'"),"','TargetCode':''}")</f>
        <v>#REF!</v>
      </c>
    </row>
    <row r="756" ht="12.75">
      <c r="A756" t="e">
        <f>CONCATENATE("{'SheetId':'17038ef5-b0c0-4cdd-a0b3-0439344f47e6'",",","'UId':'9d7fe12e-2cc2-4dc0-823d-efa214da6470'",",'Col':",COLUMN(#REF!),",'Row':",ROW(#REF!),",","'ColDynamic':",COLUMN(#REF!),",","'RowDynamic':",ROW(#REF!),",","'Format':'numberic'",",'Value':'",SUBSTITUTE(#REF!,"'","\'"),"','TargetCode':''}")</f>
        <v>#REF!</v>
      </c>
    </row>
    <row r="757" ht="12.75">
      <c r="A757" t="e">
        <f>CONCATENATE("{'SheetId':'17038ef5-b0c0-4cdd-a0b3-0439344f47e6'",",","'UId':'1252edc4-27d7-4ada-a70c-183138d498f3'",",'Col':",COLUMN(#REF!),",'Row':",ROW(#REF!),",","'ColDynamic':",COLUMN(#REF!),",","'RowDynamic':",ROW(#REF!),",","'Format':'numberic'",",'Value':'",SUBSTITUTE(#REF!,"'","\'"),"','TargetCode':''}")</f>
        <v>#REF!</v>
      </c>
    </row>
    <row r="758" ht="12.75">
      <c r="A758" t="e">
        <f>CONCATENATE("{'SheetId':'17038ef5-b0c0-4cdd-a0b3-0439344f47e6'",",","'UId':'92759f36-d2c7-4ed0-9334-c49e41dc5596'",",'Col':",COLUMN(#REF!),",'Row':",ROW(#REF!),",","'ColDynamic':",COLUMN(#REF!),",","'RowDynamic':",ROW(#REF!),",","'Format':'numberic'",",'Value':'",SUBSTITUTE(#REF!,"'","\'"),"','TargetCode':''}")</f>
        <v>#REF!</v>
      </c>
    </row>
    <row r="759" ht="12.75">
      <c r="A759" t="e">
        <f>CONCATENATE("{'SheetId':'17038ef5-b0c0-4cdd-a0b3-0439344f47e6'",",","'UId':'f86db235-f534-4ff5-89e8-79c3e770d9ca'",",'Col':",COLUMN(#REF!),",'Row':",ROW(#REF!),",","'ColDynamic':",COLUMN(#REF!),",","'RowDynamic':",ROW(#REF!),",","'Format':'numberic'",",'Value':'",SUBSTITUTE(#REF!,"'","\'"),"','TargetCode':''}")</f>
        <v>#REF!</v>
      </c>
    </row>
    <row r="760" ht="12.75">
      <c r="A760" t="e">
        <f>CONCATENATE("{'SheetId':'17038ef5-b0c0-4cdd-a0b3-0439344f47e6'",",","'UId':'6dceaa15-9012-41af-b2c8-395818e1f550'",",'Col':",COLUMN(#REF!),",'Row':",ROW(#REF!),",","'ColDynamic':",COLUMN(#REF!),",","'RowDynamic':",ROW(#REF!),",","'Format':'string'",",'Value':'",SUBSTITUTE(#REF!,"'","\'"),"','TargetCode':''}")</f>
        <v>#REF!</v>
      </c>
    </row>
    <row r="761" ht="12.75">
      <c r="A761" t="e">
        <f>CONCATENATE("{'SheetId':'17038ef5-b0c0-4cdd-a0b3-0439344f47e6'",",","'UId':'c14d3ee3-5971-4270-a5d3-f50e1c332e8d'",",'Col':",COLUMN(#REF!),",'Row':",ROW(#REF!),",","'ColDynamic':",COLUMN(#REF!),",","'RowDynamic':",ROW(#REF!),",","'Format':'string'",",'Value':'",SUBSTITUTE(#REF!,"'","\'"),"','TargetCode':''}")</f>
        <v>#REF!</v>
      </c>
    </row>
    <row r="762" ht="12.75">
      <c r="A762" t="e">
        <f>CONCATENATE("{'SheetId':'17038ef5-b0c0-4cdd-a0b3-0439344f47e6'",",","'UId':'949a407b-83ef-4703-a6e1-72f76cf60ec7'",",'Col':",COLUMN(#REF!),",'Row':",ROW(#REF!),",","'ColDynamic':",COLUMN(#REF!),",","'RowDynamic':",ROW(#REF!),",","'Format':'numberic'",",'Value':'",SUBSTITUTE(#REF!,"'","\'"),"','TargetCode':''}")</f>
        <v>#REF!</v>
      </c>
    </row>
    <row r="763" ht="12.75">
      <c r="A763" t="e">
        <f>CONCATENATE("{'SheetId':'17038ef5-b0c0-4cdd-a0b3-0439344f47e6'",",","'UId':'5af76d4b-bc59-40b0-9094-9df863c64436'",",'Col':",COLUMN(#REF!),",'Row':",ROW(#REF!),",","'ColDynamic':",COLUMN(#REF!),",","'RowDynamic':",ROW(#REF!),",","'Format':'numberic'",",'Value':'",SUBSTITUTE(#REF!,"'","\'"),"','TargetCode':''}")</f>
        <v>#REF!</v>
      </c>
    </row>
    <row r="764" ht="12.75">
      <c r="A764" t="e">
        <f>CONCATENATE("{'SheetId':'17038ef5-b0c0-4cdd-a0b3-0439344f47e6'",",","'UId':'95d96bd4-ed31-46de-a92d-e5641cc55c12'",",'Col':",COLUMN(#REF!),",'Row':",ROW(#REF!),",","'ColDynamic':",COLUMN(#REF!),",","'RowDynamic':",ROW(#REF!),",","'Format':'numberic'",",'Value':'",SUBSTITUTE(#REF!,"'","\'"),"','TargetCode':''}")</f>
        <v>#REF!</v>
      </c>
    </row>
    <row r="765" ht="12.75">
      <c r="A765" t="e">
        <f>CONCATENATE("{'SheetId':'17038ef5-b0c0-4cdd-a0b3-0439344f47e6'",",","'UId':'3a85f8ff-ff1a-4ac5-b6aa-79e4e9747fa1'",",'Col':",COLUMN(#REF!),",'Row':",ROW(#REF!),",","'ColDynamic':",COLUMN(#REF!),",","'RowDynamic':",ROW(#REF!),",","'Format':'numberic'",",'Value':'",SUBSTITUTE(#REF!,"'","\'"),"','TargetCode':''}")</f>
        <v>#REF!</v>
      </c>
    </row>
    <row r="766" ht="12.75">
      <c r="A766" t="e">
        <f>CONCATENATE("{'SheetId':'17038ef5-b0c0-4cdd-a0b3-0439344f47e6'",",","'UId':'d53e73ab-1598-4cf8-b48c-314386b071b6'",",'Col':",COLUMN(#REF!),",'Row':",ROW(#REF!),",","'ColDynamic':",COLUMN(#REF!),",","'RowDynamic':",ROW(#REF!),",","'Format':'numberic'",",'Value':'",SUBSTITUTE(#REF!,"'","\'"),"','TargetCode':''}")</f>
        <v>#REF!</v>
      </c>
    </row>
    <row r="767" ht="12.75">
      <c r="A767" t="e">
        <f>CONCATENATE("{'SheetId':'17038ef5-b0c0-4cdd-a0b3-0439344f47e6'",",","'UId':'d4066e2b-3a0e-41c2-92d0-037e07952319'",",'Col':",COLUMN(#REF!),",'Row':",ROW(#REF!),",","'Format':'numberic'",",'Value':'",SUBSTITUTE(#REF!,"'","\'"),"','TargetCode':''}")</f>
        <v>#REF!</v>
      </c>
    </row>
    <row r="768" ht="12.75">
      <c r="A768" t="e">
        <f>CONCATENATE("{'SheetId':'17038ef5-b0c0-4cdd-a0b3-0439344f47e6'",",","'UId':'d21718fe-1343-4d4e-8e40-6f8f6b4f025f'",",'Col':",COLUMN(#REF!),",'Row':",ROW(#REF!),",","'Format':'numberic'",",'Value':'",SUBSTITUTE(#REF!,"'","\'"),"','TargetCode':''}")</f>
        <v>#REF!</v>
      </c>
    </row>
    <row r="769" ht="12.75">
      <c r="A769" t="e">
        <f>CONCATENATE("{'SheetId':'17038ef5-b0c0-4cdd-a0b3-0439344f47e6'",",","'UId':'17d44197-1d2c-49a2-a819-223c3211778e'",",'Col':",COLUMN(#REF!),",'Row':",ROW(#REF!),",","'Format':'numberic'",",'Value':'",SUBSTITUTE(#REF!,"'","\'"),"','TargetCode':''}")</f>
        <v>#REF!</v>
      </c>
    </row>
    <row r="770" ht="12.75">
      <c r="A770" t="e">
        <f>CONCATENATE("{'SheetId':'17038ef5-b0c0-4cdd-a0b3-0439344f47e6'",",","'UId':'25f4d503-a694-4219-8e34-c21732946624'",",'Col':",COLUMN(#REF!),",'Row':",ROW(#REF!),",","'Format':'numberic'",",'Value':'",SUBSTITUTE(#REF!,"'","\'"),"','TargetCode':''}")</f>
        <v>#REF!</v>
      </c>
    </row>
    <row r="771" ht="12.75">
      <c r="A771" t="e">
        <f>CONCATENATE("{'SheetId':'17038ef5-b0c0-4cdd-a0b3-0439344f47e6'",",","'UId':'6bf5e514-2300-4ee0-8cae-855a66de0166'",",'Col':",COLUMN(#REF!),",'Row':",ROW(#REF!),",","'Format':'numberic'",",'Value':'",SUBSTITUTE(#REF!,"'","\'"),"','TargetCode':''}")</f>
        <v>#REF!</v>
      </c>
    </row>
    <row r="772" ht="12.75">
      <c r="A772" t="e">
        <f>CONCATENATE("{'SheetId':'17038ef5-b0c0-4cdd-a0b3-0439344f47e6'",",","'UId':'e76139f0-9556-4ca2-adc8-ab5337cdf99f'",",'Col':",COLUMN(#REF!),",'Row':",ROW(#REF!),",","'Format':'numberic'",",'Value':'",SUBSTITUTE(#REF!,"'","\'"),"','TargetCode':''}")</f>
        <v>#REF!</v>
      </c>
    </row>
    <row r="773" ht="12.75">
      <c r="A773" t="e">
        <f>CONCATENATE("{'SheetId':'17038ef5-b0c0-4cdd-a0b3-0439344f47e6'",",","'UId':'04fe2b37-c29b-4aff-a129-9fb12bde9e96'",",'Col':",COLUMN(#REF!),",'Row':",ROW(#REF!),",","'Format':'numberic'",",'Value':'",SUBSTITUTE(#REF!,"'","\'"),"','TargetCode':''}")</f>
        <v>#REF!</v>
      </c>
    </row>
    <row r="774" ht="12.75">
      <c r="A774" t="e">
        <f>CONCATENATE("{'SheetId':'17038ef5-b0c0-4cdd-a0b3-0439344f47e6'",",","'UId':'31f1c51a-c4b4-44ad-9f5c-bab7da6c75c6'",",'Col':",COLUMN(#REF!),",'Row':",ROW(#REF!),",","'Format':'numberic'",",'Value':'",SUBSTITUTE(#REF!,"'","\'"),"','TargetCode':''}")</f>
        <v>#REF!</v>
      </c>
    </row>
    <row r="775" ht="12.75">
      <c r="A775" t="e">
        <f>CONCATENATE("{'SheetId':'17038ef5-b0c0-4cdd-a0b3-0439344f47e6'",",","'UId':'cc04047e-b443-4773-9b43-4fe5bcbe5882'",",'Col':",COLUMN(#REF!),",'Row':",ROW(#REF!),",","'Format':'numberic'",",'Value':'",SUBSTITUTE(#REF!,"'","\'"),"','TargetCode':''}")</f>
        <v>#REF!</v>
      </c>
    </row>
    <row r="776" ht="12.75">
      <c r="A776" t="e">
        <f>CONCATENATE("{'SheetId':'17038ef5-b0c0-4cdd-a0b3-0439344f47e6'",",","'UId':'38a7947f-3d51-4953-92a2-76e68cc3bcc3'",",'Col':",COLUMN(#REF!),",'Row':",ROW(#REF!),",","'Format':'numberic'",",'Value':'",SUBSTITUTE(#REF!,"'","\'"),"','TargetCode':''}")</f>
        <v>#REF!</v>
      </c>
    </row>
    <row r="777" ht="12.75">
      <c r="A777" t="e">
        <f>CONCATENATE("{'SheetId':'17038ef5-b0c0-4cdd-a0b3-0439344f47e6'",",","'UId':'03a141b5-8307-4471-bf43-862286d0bdec'",",'Col':",COLUMN(#REF!),",'Row':",ROW(#REF!),",","'Format':'numberic'",",'Value':'",SUBSTITUTE(#REF!,"'","\'"),"','TargetCode':''}")</f>
        <v>#REF!</v>
      </c>
    </row>
    <row r="778" ht="12.75">
      <c r="A778" t="e">
        <f>CONCATENATE("{'SheetId':'17038ef5-b0c0-4cdd-a0b3-0439344f47e6'",",","'UId':'a75fd75b-a798-4777-977d-3f3954f32635'",",'Col':",COLUMN(#REF!),",'Row':",ROW(#REF!),",","'Format':'numberic'",",'Value':'",SUBSTITUTE(#REF!,"'","\'"),"','TargetCode':''}")</f>
        <v>#REF!</v>
      </c>
    </row>
    <row r="779" ht="12.75">
      <c r="A779" t="e">
        <f>CONCATENATE("{'SheetId':'17038ef5-b0c0-4cdd-a0b3-0439344f47e6'",",","'UId':'4c5dd968-fbc0-4d75-a5c6-f9912e03f30c'",",'Col':",COLUMN(#REF!),",'Row':",ROW(#REF!),",","'Format':'numberic'",",'Value':'",SUBSTITUTE(#REF!,"'","\'"),"','TargetCode':''}")</f>
        <v>#REF!</v>
      </c>
    </row>
    <row r="780" ht="12.75">
      <c r="A780" t="e">
        <f>CONCATENATE("{'SheetId':'17038ef5-b0c0-4cdd-a0b3-0439344f47e6'",",","'UId':'c5aa4de1-38cc-48d8-9aee-2df31545b1bb'",",'Col':",COLUMN(#REF!),",'Row':",ROW(#REF!),",","'Format':'numberic'",",'Value':'",SUBSTITUTE(#REF!,"'","\'"),"','TargetCode':''}")</f>
        <v>#REF!</v>
      </c>
    </row>
    <row r="781" ht="12.75">
      <c r="A781" t="e">
        <f>CONCATENATE("{'SheetId':'17038ef5-b0c0-4cdd-a0b3-0439344f47e6'",",","'UId':'9ed7a10d-459a-421d-a868-f55f0d5be292'",",'Col':",COLUMN(#REF!),",'Row':",ROW(#REF!),",","'Format':'numberic'",",'Value':'",SUBSTITUTE(#REF!,"'","\'"),"','TargetCode':''}")</f>
        <v>#REF!</v>
      </c>
    </row>
    <row r="782" ht="12.75">
      <c r="A782" t="e">
        <f>CONCATENATE("{'SheetId':'5aa68f19-226c-4c6d-89c4-5a06385e112a'",",","'UId':'dcbe42f2-9872-499d-9628-19cade774f64'",",'Col':",COLUMN(#REF!),",'Row':",ROW(#REF!),",","'Format':'numberic'",",'Value':'",SUBSTITUTE(#REF!,"'","\'"),"','TargetCode':''}")</f>
        <v>#REF!</v>
      </c>
    </row>
    <row r="783" ht="12.75">
      <c r="A783" t="e">
        <f>CONCATENATE("{'SheetId':'5aa68f19-226c-4c6d-89c4-5a06385e112a'",",","'UId':'59c6e59f-0aae-4ff2-9918-d13006c3981a'",",'Col':",COLUMN(#REF!),",'Row':",ROW(#REF!),",","'Format':'numberic'",",'Value':'",SUBSTITUTE(#REF!,"'","\'"),"','TargetCode':''}")</f>
        <v>#REF!</v>
      </c>
    </row>
    <row r="784" ht="12.75">
      <c r="A784" t="e">
        <f>CONCATENATE("{'SheetId':'5aa68f19-226c-4c6d-89c4-5a06385e112a'",",","'UId':'7f5df541-bc92-45b6-94c8-cacac2ea11c0'",",'Col':",COLUMN(#REF!),",'Row':",ROW(#REF!),",","'Format':'numberic'",",'Value':'",SUBSTITUTE(#REF!,"'","\'"),"','TargetCode':''}")</f>
        <v>#REF!</v>
      </c>
    </row>
    <row r="785" ht="12.75">
      <c r="A785" t="e">
        <f>CONCATENATE("{'SheetId':'5aa68f19-226c-4c6d-89c4-5a06385e112a'",",","'UId':'f5010f7d-4705-482a-9f5a-5a5c864ae1a7'",",'Col':",COLUMN(#REF!),",'Row':",ROW(#REF!),",","'Format':'numberic'",",'Value':'",SUBSTITUTE(#REF!,"'","\'"),"','TargetCode':''}")</f>
        <v>#REF!</v>
      </c>
    </row>
    <row r="786" ht="12.75">
      <c r="A786" t="e">
        <f>CONCATENATE("{'SheetId':'5aa68f19-226c-4c6d-89c4-5a06385e112a'",",","'UId':'a12e2b30-5f3f-45b4-9d43-befae690f345'",",'Col':",COLUMN(#REF!),",'Row':",ROW(#REF!),",","'Format':'numberic'",",'Value':'",SUBSTITUTE(#REF!,"'","\'"),"','TargetCode':''}")</f>
        <v>#REF!</v>
      </c>
    </row>
    <row r="787" ht="12.75">
      <c r="A787" t="e">
        <f>CONCATENATE("{'SheetId':'5aa68f19-226c-4c6d-89c4-5a06385e112a'",",","'UId':'f3e0cb98-1769-4a07-943e-0622a0496607'",",'Col':",COLUMN(#REF!),",'Row':",ROW(#REF!),",","'Format':'numberic'",",'Value':'",SUBSTITUTE(#REF!,"'","\'"),"','TargetCode':''}")</f>
        <v>#REF!</v>
      </c>
    </row>
    <row r="788" ht="12.75">
      <c r="A788" t="e">
        <f>CONCATENATE("{'SheetId':'5aa68f19-226c-4c6d-89c4-5a06385e112a'",",","'UId':'e8460ac7-314a-404e-aae4-9b1223ca04ad'",",'Col':",COLUMN(#REF!),",'Row':",ROW(#REF!),",","'ColDynamic':",COLUMN(#REF!),",","'RowDynamic':",ROW(#REF!),",","'Format':'string'",",'Value':'",SUBSTITUTE(#REF!,"'","\'"),"','TargetCode':''}")</f>
        <v>#REF!</v>
      </c>
    </row>
    <row r="789" ht="12.75">
      <c r="A789" t="e">
        <f>CONCATENATE("{'SheetId':'5aa68f19-226c-4c6d-89c4-5a06385e112a'",",","'UId':'c7b8eb95-f6a5-44bd-8b0b-2c85da8fd020'",",'Col':",COLUMN(#REF!),",'Row':",ROW(#REF!),",","'ColDynamic':",COLUMN(#REF!),",","'RowDynamic':",ROW(#REF!),",","'Format':'string'",",'Value':'",SUBSTITUTE(#REF!,"'","\'"),"','TargetCode':''}")</f>
        <v>#REF!</v>
      </c>
    </row>
    <row r="790" ht="12.75">
      <c r="A790" t="e">
        <f>CONCATENATE("{'SheetId':'5aa68f19-226c-4c6d-89c4-5a06385e112a'",",","'UId':'f9e3cf66-328e-417c-93d9-97a1a83c986d'",",'Col':",COLUMN(#REF!),",'Row':",ROW(#REF!),",","'ColDynamic':",COLUMN(#REF!),",","'RowDynamic':",ROW(#REF!),",","'Format':'numberic'",",'Value':'",SUBSTITUTE(#REF!,"'","\'"),"','TargetCode':''}")</f>
        <v>#REF!</v>
      </c>
    </row>
    <row r="791" ht="12.75">
      <c r="A791" t="e">
        <f>CONCATENATE("{'SheetId':'5aa68f19-226c-4c6d-89c4-5a06385e112a'",",","'UId':'92b660ae-8986-450b-9994-3095d31694cf'",",'Col':",COLUMN(#REF!),",'Row':",ROW(#REF!),",","'ColDynamic':",COLUMN(#REF!),",","'RowDynamic':",ROW(#REF!),",","'Format':'numberic'",",'Value':'",SUBSTITUTE(#REF!,"'","\'"),"','TargetCode':''}")</f>
        <v>#REF!</v>
      </c>
    </row>
    <row r="792" ht="12.75">
      <c r="A792" t="e">
        <f>CONCATENATE("{'SheetId':'5aa68f19-226c-4c6d-89c4-5a06385e112a'",",","'UId':'61151671-eb54-4b32-a5c6-495909d680ef'",",'Col':",COLUMN(#REF!),",'Row':",ROW(#REF!),",","'ColDynamic':",COLUMN(#REF!),",","'RowDynamic':",ROW(#REF!),",","'Format':'numberic'",",'Value':'",SUBSTITUTE(#REF!,"'","\'"),"','TargetCode':''}")</f>
        <v>#REF!</v>
      </c>
    </row>
    <row r="793" ht="12.75">
      <c r="A793" t="e">
        <f>CONCATENATE("{'SheetId':'5aa68f19-226c-4c6d-89c4-5a06385e112a'",",","'UId':'027dd50b-e3fb-4a2c-9795-fa18e696c7e1'",",'Col':",COLUMN(#REF!),",'Row':",ROW(#REF!),",","'ColDynamic':",COLUMN(#REF!),",","'RowDynamic':",ROW(#REF!),",","'Format':'numberic'",",'Value':'",SUBSTITUTE(#REF!,"'","\'"),"','TargetCode':''}")</f>
        <v>#REF!</v>
      </c>
    </row>
    <row r="794" ht="12.75">
      <c r="A794" t="e">
        <f>CONCATENATE("{'SheetId':'5aa68f19-226c-4c6d-89c4-5a06385e112a'",",","'UId':'3eca4f79-b544-4e38-8c3f-482a2a59b692'",",'Col':",COLUMN(#REF!),",'Row':",ROW(#REF!),",","'ColDynamic':",COLUMN(#REF!),",","'RowDynamic':",ROW(#REF!),",","'Format':'numberic'",",'Value':'",SUBSTITUTE(#REF!,"'","\'"),"','TargetCode':''}")</f>
        <v>#REF!</v>
      </c>
    </row>
    <row r="795" ht="12.75">
      <c r="A795" t="e">
        <f>CONCATENATE("{'SheetId':'5aa68f19-226c-4c6d-89c4-5a06385e112a'",",","'UId':'bcf2cd2f-2c12-4b79-b1b8-f50bcf97309e'",",'Col':",COLUMN(#REF!),",'Row':",ROW(#REF!),",","'ColDynamic':",COLUMN(#REF!),",","'RowDynamic':",ROW(#REF!),",","'Format':'numberic'",",'Value':'",SUBSTITUTE(#REF!,"'","\'"),"','TargetCode':''}")</f>
        <v>#REF!</v>
      </c>
    </row>
    <row r="796" ht="12.75">
      <c r="A796" t="e">
        <f>CONCATENATE("{'SheetId':'5aa68f19-226c-4c6d-89c4-5a06385e112a'",",","'UId':'bd7ababd-7955-40c0-930c-100b2a23729f'",",'Col':",COLUMN(#REF!),",'Row':",ROW(#REF!),",","'Format':'numberic'",",'Value':'",SUBSTITUTE(#REF!,"'","\'"),"','TargetCode':''}")</f>
        <v>#REF!</v>
      </c>
    </row>
    <row r="797" ht="12.75">
      <c r="A797" t="e">
        <f>CONCATENATE("{'SheetId':'5aa68f19-226c-4c6d-89c4-5a06385e112a'",",","'UId':'77ae6f11-edfa-4524-b5e7-00a1b3e03dd0'",",'Col':",COLUMN(#REF!),",'Row':",ROW(#REF!),",","'Format':'numberic'",",'Value':'",SUBSTITUTE(#REF!,"'","\'"),"','TargetCode':''}")</f>
        <v>#REF!</v>
      </c>
    </row>
    <row r="798" ht="12.75">
      <c r="A798" t="e">
        <f>CONCATENATE("{'SheetId':'5aa68f19-226c-4c6d-89c4-5a06385e112a'",",","'UId':'0076c359-1a17-4496-aac4-faa05af9ab57'",",'Col':",COLUMN(#REF!),",'Row':",ROW(#REF!),",","'Format':'numberic'",",'Value':'",SUBSTITUTE(#REF!,"'","\'"),"','TargetCode':''}")</f>
        <v>#REF!</v>
      </c>
    </row>
    <row r="799" ht="12.75">
      <c r="A799" t="e">
        <f>CONCATENATE("{'SheetId':'5aa68f19-226c-4c6d-89c4-5a06385e112a'",",","'UId':'7a478a76-f887-4833-9897-e76c24fc9324'",",'Col':",COLUMN(#REF!),",'Row':",ROW(#REF!),",","'Format':'numberic'",",'Value':'",SUBSTITUTE(#REF!,"'","\'"),"','TargetCode':''}")</f>
        <v>#REF!</v>
      </c>
    </row>
    <row r="800" ht="12.75">
      <c r="A800" t="e">
        <f>CONCATENATE("{'SheetId':'5aa68f19-226c-4c6d-89c4-5a06385e112a'",",","'UId':'32b95607-d3e4-454e-bb39-29472709144f'",",'Col':",COLUMN(#REF!),",'Row':",ROW(#REF!),",","'Format':'numberic'",",'Value':'",SUBSTITUTE(#REF!,"'","\'"),"','TargetCode':''}")</f>
        <v>#REF!</v>
      </c>
    </row>
    <row r="801" ht="12.75">
      <c r="A801" t="e">
        <f>CONCATENATE("{'SheetId':'5aa68f19-226c-4c6d-89c4-5a06385e112a'",",","'UId':'74152c61-532b-4f40-8a40-6e95a52d91b3'",",'Col':",COLUMN(#REF!),",'Row':",ROW(#REF!),",","'Format':'numberic'",",'Value':'",SUBSTITUTE(#REF!,"'","\'"),"','TargetCode':''}")</f>
        <v>#REF!</v>
      </c>
    </row>
    <row r="802" ht="12.75">
      <c r="A802" t="e">
        <f>CONCATENATE("{'SheetId':'5aa68f19-226c-4c6d-89c4-5a06385e112a'",",","'UId':'c14e7876-775d-432e-a207-b54980f28fac'",",'Col':",COLUMN(#REF!),",'Row':",ROW(#REF!),",","'ColDynamic':",COLUMN(#REF!),",","'RowDynamic':",ROW(#REF!),",","'Format':'string'",",'Value':'",SUBSTITUTE(#REF!,"'","\'"),"','TargetCode':''}")</f>
        <v>#REF!</v>
      </c>
    </row>
    <row r="803" ht="12.75">
      <c r="A803" t="e">
        <f>CONCATENATE("{'SheetId':'5aa68f19-226c-4c6d-89c4-5a06385e112a'",",","'UId':'1fc95ef8-c46a-4695-a5f8-832afb0a02e8'",",'Col':",COLUMN(#REF!),",'Row':",ROW(#REF!),",","'ColDynamic':",COLUMN(#REF!),",","'RowDynamic':",ROW(#REF!),",","'Format':'string'",",'Value':'",SUBSTITUTE(#REF!,"'","\'"),"','TargetCode':''}")</f>
        <v>#REF!</v>
      </c>
    </row>
    <row r="804" ht="12.75">
      <c r="A804" t="e">
        <f>CONCATENATE("{'SheetId':'5aa68f19-226c-4c6d-89c4-5a06385e112a'",",","'UId':'404279cd-9395-464c-abc1-c867e385c624'",",'Col':",COLUMN(#REF!),",'Row':",ROW(#REF!),",","'ColDynamic':",COLUMN(#REF!),",","'RowDynamic':",ROW(#REF!),",","'Format':'numberic'",",'Value':'",SUBSTITUTE(#REF!,"'","\'"),"','TargetCode':''}")</f>
        <v>#REF!</v>
      </c>
    </row>
    <row r="805" ht="12.75">
      <c r="A805" t="e">
        <f>CONCATENATE("{'SheetId':'5aa68f19-226c-4c6d-89c4-5a06385e112a'",",","'UId':'c5cae6a5-f3dd-4215-b152-6e576d81942a'",",'Col':",COLUMN(#REF!),",'Row':",ROW(#REF!),",","'ColDynamic':",COLUMN(#REF!),",","'RowDynamic':",ROW(#REF!),",","'Format':'numberic'",",'Value':'",SUBSTITUTE(#REF!,"'","\'"),"','TargetCode':''}")</f>
        <v>#REF!</v>
      </c>
    </row>
    <row r="806" ht="12.75">
      <c r="A806" t="e">
        <f>CONCATENATE("{'SheetId':'5aa68f19-226c-4c6d-89c4-5a06385e112a'",",","'UId':'62042bbd-7b05-4ba0-83f8-e1833d0234b9'",",'Col':",COLUMN(#REF!),",'Row':",ROW(#REF!),",","'ColDynamic':",COLUMN(#REF!),",","'RowDynamic':",ROW(#REF!),",","'Format':'numberic'",",'Value':'",SUBSTITUTE(#REF!,"'","\'"),"','TargetCode':''}")</f>
        <v>#REF!</v>
      </c>
    </row>
    <row r="807" ht="12.75">
      <c r="A807" t="e">
        <f>CONCATENATE("{'SheetId':'5aa68f19-226c-4c6d-89c4-5a06385e112a'",",","'UId':'fffbba26-1935-480a-ac6d-a5976e0010a5'",",'Col':",COLUMN(#REF!),",'Row':",ROW(#REF!),",","'ColDynamic':",COLUMN(#REF!),",","'RowDynamic':",ROW(#REF!),",","'Format':'numberic'",",'Value':'",SUBSTITUTE(#REF!,"'","\'"),"','TargetCode':''}")</f>
        <v>#REF!</v>
      </c>
    </row>
    <row r="808" ht="12.75">
      <c r="A808" t="e">
        <f>CONCATENATE("{'SheetId':'5aa68f19-226c-4c6d-89c4-5a06385e112a'",",","'UId':'10c5525f-cf59-477c-92c8-e487fdebbf37'",",'Col':",COLUMN(#REF!),",'Row':",ROW(#REF!),",","'ColDynamic':",COLUMN(#REF!),",","'RowDynamic':",ROW(#REF!),",","'Format':'numberic'",",'Value':'",SUBSTITUTE(#REF!,"'","\'"),"','TargetCode':''}")</f>
        <v>#REF!</v>
      </c>
    </row>
    <row r="809" ht="12.75">
      <c r="A809" t="e">
        <f>CONCATENATE("{'SheetId':'5aa68f19-226c-4c6d-89c4-5a06385e112a'",",","'UId':'7e8a081d-e12d-4cce-9d12-21d14d60ee6d'",",'Col':",COLUMN(#REF!),",'Row':",ROW(#REF!),",","'ColDynamic':",COLUMN(#REF!),",","'RowDynamic':",ROW(#REF!),",","'Format':'numberic'",",'Value':'",SUBSTITUTE(#REF!,"'","\'"),"','TargetCode':''}")</f>
        <v>#REF!</v>
      </c>
    </row>
    <row r="810" ht="12.75">
      <c r="A810" t="e">
        <f>CONCATENATE("{'SheetId':'5aa68f19-226c-4c6d-89c4-5a06385e112a'",",","'UId':'ddad480c-d233-4982-928f-3d520f2af523'",",'Col':",COLUMN(#REF!),",'Row':",ROW(#REF!),",","'Format':'numberic'",",'Value':'",SUBSTITUTE(#REF!,"'","\'"),"','TargetCode':''}")</f>
        <v>#REF!</v>
      </c>
    </row>
    <row r="811" ht="12.75">
      <c r="A811" t="e">
        <f>CONCATENATE("{'SheetId':'5aa68f19-226c-4c6d-89c4-5a06385e112a'",",","'UId':'0549607a-37c1-4cb2-b4eb-7a395d6cd074'",",'Col':",COLUMN(#REF!),",'Row':",ROW(#REF!),",","'Format':'numberic'",",'Value':'",SUBSTITUTE(#REF!,"'","\'"),"','TargetCode':''}")</f>
        <v>#REF!</v>
      </c>
    </row>
    <row r="812" ht="12.75">
      <c r="A812" t="e">
        <f>CONCATENATE("{'SheetId':'5aa68f19-226c-4c6d-89c4-5a06385e112a'",",","'UId':'d831138f-5045-48c9-b4dd-40c663d5107f'",",'Col':",COLUMN(#REF!),",'Row':",ROW(#REF!),",","'Format':'numberic'",",'Value':'",SUBSTITUTE(#REF!,"'","\'"),"','TargetCode':''}")</f>
        <v>#REF!</v>
      </c>
    </row>
    <row r="813" ht="12.75">
      <c r="A813" t="e">
        <f>CONCATENATE("{'SheetId':'5aa68f19-226c-4c6d-89c4-5a06385e112a'",",","'UId':'ceeca54b-5c1d-41fd-99a6-696db85e3515'",",'Col':",COLUMN(#REF!),",'Row':",ROW(#REF!),",","'Format':'numberic'",",'Value':'",SUBSTITUTE(#REF!,"'","\'"),"','TargetCode':''}")</f>
        <v>#REF!</v>
      </c>
    </row>
    <row r="814" ht="12.75">
      <c r="A814" t="e">
        <f>CONCATENATE("{'SheetId':'5aa68f19-226c-4c6d-89c4-5a06385e112a'",",","'UId':'73668e8e-f1c7-4d41-99a9-cfbb009b8088'",",'Col':",COLUMN(#REF!),",'Row':",ROW(#REF!),",","'Format':'numberic'",",'Value':'",SUBSTITUTE(#REF!,"'","\'"),"','TargetCode':''}")</f>
        <v>#REF!</v>
      </c>
    </row>
    <row r="815" ht="12.75">
      <c r="A815" t="e">
        <f>CONCATENATE("{'SheetId':'5aa68f19-226c-4c6d-89c4-5a06385e112a'",",","'UId':'3aa0f35b-90bc-438b-9050-12501b9a6202'",",'Col':",COLUMN(#REF!),",'Row':",ROW(#REF!),",","'Format':'numberic'",",'Value':'",SUBSTITUTE(#REF!,"'","\'"),"','TargetCode':''}")</f>
        <v>#REF!</v>
      </c>
    </row>
    <row r="816" ht="12.75">
      <c r="A816" t="e">
        <f>CONCATENATE("{'SheetId':'5aa68f19-226c-4c6d-89c4-5a06385e112a'",",","'UId':'f56d14e8-5593-42fc-bce4-d539551b1871'",",'Col':",COLUMN(#REF!),",'Row':",ROW(#REF!),",","'ColDynamic':",COLUMN(#REF!),",","'RowDynamic':",ROW(#REF!),",","'Format':'string'",",'Value':'",SUBSTITUTE(#REF!,"'","\'"),"','TargetCode':''}")</f>
        <v>#REF!</v>
      </c>
    </row>
    <row r="817" ht="12.75">
      <c r="A817" t="e">
        <f>CONCATENATE("{'SheetId':'5aa68f19-226c-4c6d-89c4-5a06385e112a'",",","'UId':'47394025-6b68-40be-b4f4-eb828dcb1fec'",",'Col':",COLUMN(#REF!),",'Row':",ROW(#REF!),",","'ColDynamic':",COLUMN(#REF!),",","'RowDynamic':",ROW(#REF!),",","'Format':'string'",",'Value':'",SUBSTITUTE(#REF!,"'","\'"),"','TargetCode':''}")</f>
        <v>#REF!</v>
      </c>
    </row>
    <row r="818" ht="12.75">
      <c r="A818" t="e">
        <f>CONCATENATE("{'SheetId':'5aa68f19-226c-4c6d-89c4-5a06385e112a'",",","'UId':'1cff6672-f0ff-4cfc-ac16-e336b3200f69'",",'Col':",COLUMN(#REF!),",'Row':",ROW(#REF!),",","'ColDynamic':",COLUMN(#REF!),",","'RowDynamic':",ROW(#REF!),",","'Format':'numberic'",",'Value':'",SUBSTITUTE(#REF!,"'","\'"),"','TargetCode':''}")</f>
        <v>#REF!</v>
      </c>
    </row>
    <row r="819" ht="12.75">
      <c r="A819" t="e">
        <f>CONCATENATE("{'SheetId':'5aa68f19-226c-4c6d-89c4-5a06385e112a'",",","'UId':'3dddf5cb-3c6d-4349-9212-498e6ee152d8'",",'Col':",COLUMN(#REF!),",'Row':",ROW(#REF!),",","'ColDynamic':",COLUMN(#REF!),",","'RowDynamic':",ROW(#REF!),",","'Format':'numberic'",",'Value':'",SUBSTITUTE(#REF!,"'","\'"),"','TargetCode':''}")</f>
        <v>#REF!</v>
      </c>
    </row>
    <row r="820" ht="12.75">
      <c r="A820" t="e">
        <f>CONCATENATE("{'SheetId':'5aa68f19-226c-4c6d-89c4-5a06385e112a'",",","'UId':'ca940a2b-9a9a-4280-a634-f5fd9260a5dd'",",'Col':",COLUMN(#REF!),",'Row':",ROW(#REF!),",","'ColDynamic':",COLUMN(#REF!),",","'RowDynamic':",ROW(#REF!),",","'Format':'numberic'",",'Value':'",SUBSTITUTE(#REF!,"'","\'"),"','TargetCode':''}")</f>
        <v>#REF!</v>
      </c>
    </row>
    <row r="821" ht="12.75">
      <c r="A821" t="e">
        <f>CONCATENATE("{'SheetId':'5aa68f19-226c-4c6d-89c4-5a06385e112a'",",","'UId':'4eb109f7-f927-47ac-a02c-8d14d52b2f09'",",'Col':",COLUMN(#REF!),",'Row':",ROW(#REF!),",","'ColDynamic':",COLUMN(#REF!),",","'RowDynamic':",ROW(#REF!),",","'Format':'numberic'",",'Value':'",SUBSTITUTE(#REF!,"'","\'"),"','TargetCode':''}")</f>
        <v>#REF!</v>
      </c>
    </row>
    <row r="822" ht="12.75">
      <c r="A822" t="e">
        <f>CONCATENATE("{'SheetId':'5aa68f19-226c-4c6d-89c4-5a06385e112a'",",","'UId':'30117d7d-21a1-4bef-9117-9edf67e33796'",",'Col':",COLUMN(#REF!),",'Row':",ROW(#REF!),",","'ColDynamic':",COLUMN(#REF!),",","'RowDynamic':",ROW(#REF!),",","'Format':'numberic'",",'Value':'",SUBSTITUTE(#REF!,"'","\'"),"','TargetCode':''}")</f>
        <v>#REF!</v>
      </c>
    </row>
    <row r="823" ht="12.75">
      <c r="A823" t="e">
        <f>CONCATENATE("{'SheetId':'5aa68f19-226c-4c6d-89c4-5a06385e112a'",",","'UId':'3b68d77c-6997-48be-b37c-c91caaea0d20'",",'Col':",COLUMN(#REF!),",'Row':",ROW(#REF!),",","'ColDynamic':",COLUMN(#REF!),",","'RowDynamic':",ROW(#REF!),",","'Format':'numberic'",",'Value':'",SUBSTITUTE(#REF!,"'","\'"),"','TargetCode':''}")</f>
        <v>#REF!</v>
      </c>
    </row>
    <row r="824" ht="12.75">
      <c r="A824" t="e">
        <f>CONCATENATE("{'SheetId':'5aa68f19-226c-4c6d-89c4-5a06385e112a'",",","'UId':'7b94e042-2e9b-4133-8b45-01d7eb2c2b44'",",'Col':",COLUMN(#REF!),",'Row':",ROW(#REF!),",","'Format':'numberic'",",'Value':'",SUBSTITUTE(#REF!,"'","\'"),"','TargetCode':''}")</f>
        <v>#REF!</v>
      </c>
    </row>
    <row r="825" ht="12.75">
      <c r="A825" t="e">
        <f>CONCATENATE("{'SheetId':'5aa68f19-226c-4c6d-89c4-5a06385e112a'",",","'UId':'b7ce3295-3fe3-4941-b0b5-13278a30f07e'",",'Col':",COLUMN(#REF!),",'Row':",ROW(#REF!),",","'Format':'numberic'",",'Value':'",SUBSTITUTE(#REF!,"'","\'"),"','TargetCode':''}")</f>
        <v>#REF!</v>
      </c>
    </row>
    <row r="826" ht="12.75">
      <c r="A826" t="e">
        <f>CONCATENATE("{'SheetId':'5aa68f19-226c-4c6d-89c4-5a06385e112a'",",","'UId':'26269fad-ac81-4357-b4c5-4b56aa710f2c'",",'Col':",COLUMN(#REF!),",'Row':",ROW(#REF!),",","'Format':'numberic'",",'Value':'",SUBSTITUTE(#REF!,"'","\'"),"','TargetCode':''}")</f>
        <v>#REF!</v>
      </c>
    </row>
    <row r="827" ht="12.75">
      <c r="A827" t="e">
        <f>CONCATENATE("{'SheetId':'5aa68f19-226c-4c6d-89c4-5a06385e112a'",",","'UId':'06a847f2-5038-4312-9dd3-f85de19c750a'",",'Col':",COLUMN(#REF!),",'Row':",ROW(#REF!),",","'Format':'numberic'",",'Value':'",SUBSTITUTE(#REF!,"'","\'"),"','TargetCode':''}")</f>
        <v>#REF!</v>
      </c>
    </row>
    <row r="828" ht="12.75">
      <c r="A828" t="e">
        <f>CONCATENATE("{'SheetId':'5aa68f19-226c-4c6d-89c4-5a06385e112a'",",","'UId':'9222e693-acd4-4cce-8bb9-cbf84e29a2bb'",",'Col':",COLUMN(#REF!),",'Row':",ROW(#REF!),",","'Format':'numberic'",",'Value':'",SUBSTITUTE(#REF!,"'","\'"),"','TargetCode':''}")</f>
        <v>#REF!</v>
      </c>
    </row>
    <row r="829" ht="12.75">
      <c r="A829" t="e">
        <f>CONCATENATE("{'SheetId':'5aa68f19-226c-4c6d-89c4-5a06385e112a'",",","'UId':'a3cbe5ad-243d-4be2-a411-d32cffd03bd6'",",'Col':",COLUMN(#REF!),",'Row':",ROW(#REF!),",","'Format':'numberic'",",'Value':'",SUBSTITUTE(#REF!,"'","\'"),"','TargetCode':''}")</f>
        <v>#REF!</v>
      </c>
    </row>
    <row r="830" ht="12.75">
      <c r="A830" t="e">
        <f>CONCATENATE("{'SheetId':'5aa68f19-226c-4c6d-89c4-5a06385e112a'",",","'UId':'1a3ec0d4-5f24-4fab-bf6c-5976f68877fb'",",'Col':",COLUMN(#REF!),",'Row':",ROW(#REF!),",","'ColDynamic':",COLUMN(#REF!),",","'RowDynamic':",ROW(#REF!),",","'Format':'string'",",'Value':'",SUBSTITUTE(#REF!,"'","\'"),"','TargetCode':''}")</f>
        <v>#REF!</v>
      </c>
    </row>
    <row r="831" ht="12.75">
      <c r="A831" t="e">
        <f>CONCATENATE("{'SheetId':'5aa68f19-226c-4c6d-89c4-5a06385e112a'",",","'UId':'025fd94e-85b2-4b70-9465-4ba6210717e2'",",'Col':",COLUMN(#REF!),",'Row':",ROW(#REF!),",","'ColDynamic':",COLUMN(#REF!),",","'RowDynamic':",ROW(#REF!),",","'Format':'string'",",'Value':'",SUBSTITUTE(#REF!,"'","\'"),"','TargetCode':''}")</f>
        <v>#REF!</v>
      </c>
    </row>
    <row r="832" ht="12.75">
      <c r="A832" t="e">
        <f>CONCATENATE("{'SheetId':'5aa68f19-226c-4c6d-89c4-5a06385e112a'",",","'UId':'489668cf-291b-49b7-91f8-bc9659ff475d'",",'Col':",COLUMN(#REF!),",'Row':",ROW(#REF!),",","'ColDynamic':",COLUMN(#REF!),",","'RowDynamic':",ROW(#REF!),",","'Format':'numberic'",",'Value':'",SUBSTITUTE(#REF!,"'","\'"),"','TargetCode':''}")</f>
        <v>#REF!</v>
      </c>
    </row>
    <row r="833" ht="12.75">
      <c r="A833" t="e">
        <f>CONCATENATE("{'SheetId':'5aa68f19-226c-4c6d-89c4-5a06385e112a'",",","'UId':'2e09c480-6d38-4536-9001-3a5628af4054'",",'Col':",COLUMN(#REF!),",'Row':",ROW(#REF!),",","'ColDynamic':",COLUMN(#REF!),",","'RowDynamic':",ROW(#REF!),",","'Format':'numberic'",",'Value':'",SUBSTITUTE(#REF!,"'","\'"),"','TargetCode':''}")</f>
        <v>#REF!</v>
      </c>
    </row>
    <row r="834" ht="12.75">
      <c r="A834" t="e">
        <f>CONCATENATE("{'SheetId':'5aa68f19-226c-4c6d-89c4-5a06385e112a'",",","'UId':'9e8f6c11-a916-46b9-a2f4-1922290045ad'",",'Col':",COLUMN(#REF!),",'Row':",ROW(#REF!),",","'ColDynamic':",COLUMN(#REF!),",","'RowDynamic':",ROW(#REF!),",","'Format':'numberic'",",'Value':'",SUBSTITUTE(#REF!,"'","\'"),"','TargetCode':''}")</f>
        <v>#REF!</v>
      </c>
    </row>
    <row r="835" ht="12.75">
      <c r="A835" t="e">
        <f>CONCATENATE("{'SheetId':'5aa68f19-226c-4c6d-89c4-5a06385e112a'",",","'UId':'da0c6456-87cd-4991-b933-ac52097ae7c9'",",'Col':",COLUMN(#REF!),",'Row':",ROW(#REF!),",","'ColDynamic':",COLUMN(#REF!),",","'RowDynamic':",ROW(#REF!),",","'Format':'numberic'",",'Value':'",SUBSTITUTE(#REF!,"'","\'"),"','TargetCode':''}")</f>
        <v>#REF!</v>
      </c>
    </row>
    <row r="836" ht="12.75">
      <c r="A836" t="e">
        <f>CONCATENATE("{'SheetId':'5aa68f19-226c-4c6d-89c4-5a06385e112a'",",","'UId':'9d846337-e01e-4de2-9861-871f1c291931'",",'Col':",COLUMN(#REF!),",'Row':",ROW(#REF!),",","'ColDynamic':",COLUMN(#REF!),",","'RowDynamic':",ROW(#REF!),",","'Format':'numberic'",",'Value':'",SUBSTITUTE(#REF!,"'","\'"),"','TargetCode':''}")</f>
        <v>#REF!</v>
      </c>
    </row>
    <row r="837" ht="12.75">
      <c r="A837" t="e">
        <f>CONCATENATE("{'SheetId':'5aa68f19-226c-4c6d-89c4-5a06385e112a'",",","'UId':'4de38ce4-fdf4-414a-995b-75c50b47b4d9'",",'Col':",COLUMN(#REF!),",'Row':",ROW(#REF!),",","'ColDynamic':",COLUMN(#REF!),",","'RowDynamic':",ROW(#REF!),",","'Format':'numberic'",",'Value':'",SUBSTITUTE(#REF!,"'","\'"),"','TargetCode':''}")</f>
        <v>#REF!</v>
      </c>
    </row>
    <row r="838" ht="12.75">
      <c r="A838" t="e">
        <f>CONCATENATE("{'SheetId':'5aa68f19-226c-4c6d-89c4-5a06385e112a'",",","'UId':'e7ab30f5-420d-43bf-a83f-5db47811ed77'",",'Col':",COLUMN(#REF!),",'Row':",ROW(#REF!),",","'Format':'numberic'",",'Value':'",SUBSTITUTE(#REF!,"'","\'"),"','TargetCode':''}")</f>
        <v>#REF!</v>
      </c>
    </row>
    <row r="839" ht="12.75">
      <c r="A839" t="e">
        <f>CONCATENATE("{'SheetId':'5aa68f19-226c-4c6d-89c4-5a06385e112a'",",","'UId':'5c40893a-bd11-4592-b981-40e09688f59d'",",'Col':",COLUMN(#REF!),",'Row':",ROW(#REF!),",","'Format':'numberic'",",'Value':'",SUBSTITUTE(#REF!,"'","\'"),"','TargetCode':''}")</f>
        <v>#REF!</v>
      </c>
    </row>
    <row r="840" ht="12.75">
      <c r="A840" t="e">
        <f>CONCATENATE("{'SheetId':'5aa68f19-226c-4c6d-89c4-5a06385e112a'",",","'UId':'94445701-4d7f-4691-87e8-51dbade38be0'",",'Col':",COLUMN(#REF!),",'Row':",ROW(#REF!),",","'Format':'numberic'",",'Value':'",SUBSTITUTE(#REF!,"'","\'"),"','TargetCode':''}")</f>
        <v>#REF!</v>
      </c>
    </row>
    <row r="841" ht="12.75">
      <c r="A841" t="e">
        <f>CONCATENATE("{'SheetId':'5aa68f19-226c-4c6d-89c4-5a06385e112a'",",","'UId':'2263636f-afd4-4dbc-90b9-201be59bd253'",",'Col':",COLUMN(#REF!),",'Row':",ROW(#REF!),",","'Format':'numberic'",",'Value':'",SUBSTITUTE(#REF!,"'","\'"),"','TargetCode':''}")</f>
        <v>#REF!</v>
      </c>
    </row>
    <row r="842" ht="12.75">
      <c r="A842" t="e">
        <f>CONCATENATE("{'SheetId':'5aa68f19-226c-4c6d-89c4-5a06385e112a'",",","'UId':'0c59a277-c831-4dd9-a4c5-e6a26a860a0e'",",'Col':",COLUMN(#REF!),",'Row':",ROW(#REF!),",","'Format':'numberic'",",'Value':'",SUBSTITUTE(#REF!,"'","\'"),"','TargetCode':''}")</f>
        <v>#REF!</v>
      </c>
    </row>
    <row r="843" ht="12.75">
      <c r="A843" t="e">
        <f>CONCATENATE("{'SheetId':'5aa68f19-226c-4c6d-89c4-5a06385e112a'",",","'UId':'d1a268d0-7774-41a9-904a-7f13db1ac855'",",'Col':",COLUMN(#REF!),",'Row':",ROW(#REF!),",","'Format':'numberic'",",'Value':'",SUBSTITUTE(#REF!,"'","\'"),"','TargetCode':''}")</f>
        <v>#REF!</v>
      </c>
    </row>
    <row r="844" ht="12.75">
      <c r="A844" t="e">
        <f>CONCATENATE("{'SheetId':'5aa68f19-226c-4c6d-89c4-5a06385e112a'",",","'UId':'f2b6aa46-9927-4827-98c4-8468ea370cd7'",",'Col':",COLUMN(#REF!),",'Row':",ROW(#REF!),",","'ColDynamic':",COLUMN(#REF!),",","'RowDynamic':",ROW(#REF!),",","'Format':'string'",",'Value':'",SUBSTITUTE(#REF!,"'","\'"),"','TargetCode':''}")</f>
        <v>#REF!</v>
      </c>
    </row>
    <row r="845" ht="12.75">
      <c r="A845" t="e">
        <f>CONCATENATE("{'SheetId':'5aa68f19-226c-4c6d-89c4-5a06385e112a'",",","'UId':'aec30b9d-f4b1-4a2d-b333-8c838c820fea'",",'Col':",COLUMN(#REF!),",'Row':",ROW(#REF!),",","'ColDynamic':",COLUMN(#REF!),",","'RowDynamic':",ROW(#REF!),",","'Format':'string'",",'Value':'",SUBSTITUTE(#REF!,"'","\'"),"','TargetCode':''}")</f>
        <v>#REF!</v>
      </c>
    </row>
    <row r="846" ht="12.75">
      <c r="A846" t="e">
        <f>CONCATENATE("{'SheetId':'5aa68f19-226c-4c6d-89c4-5a06385e112a'",",","'UId':'b49aa07d-15e7-4a90-b396-3a89cafcbe91'",",'Col':",COLUMN(#REF!),",'Row':",ROW(#REF!),",","'ColDynamic':",COLUMN(#REF!),",","'RowDynamic':",ROW(#REF!),",","'Format':'numberic'",",'Value':'",SUBSTITUTE(#REF!,"'","\'"),"','TargetCode':''}")</f>
        <v>#REF!</v>
      </c>
    </row>
    <row r="847" ht="12.75">
      <c r="A847" t="e">
        <f>CONCATENATE("{'SheetId':'5aa68f19-226c-4c6d-89c4-5a06385e112a'",",","'UId':'5c35ea2c-aac8-4aa5-a9d6-b9b34b78a1a3'",",'Col':",COLUMN(#REF!),",'Row':",ROW(#REF!),",","'ColDynamic':",COLUMN(#REF!),",","'RowDynamic':",ROW(#REF!),",","'Format':'numberic'",",'Value':'",SUBSTITUTE(#REF!,"'","\'"),"','TargetCode':''}")</f>
        <v>#REF!</v>
      </c>
    </row>
    <row r="848" ht="12.75">
      <c r="A848" t="e">
        <f>CONCATENATE("{'SheetId':'5aa68f19-226c-4c6d-89c4-5a06385e112a'",",","'UId':'07db3ad4-0868-4abe-98fb-7a44a5825235'",",'Col':",COLUMN(#REF!),",'Row':",ROW(#REF!),",","'ColDynamic':",COLUMN(#REF!),",","'RowDynamic':",ROW(#REF!),",","'Format':'numberic'",",'Value':'",SUBSTITUTE(#REF!,"'","\'"),"','TargetCode':''}")</f>
        <v>#REF!</v>
      </c>
    </row>
    <row r="849" ht="12.75">
      <c r="A849" t="e">
        <f>CONCATENATE("{'SheetId':'5aa68f19-226c-4c6d-89c4-5a06385e112a'",",","'UId':'ac767ffc-3b76-4c37-8996-22c5737d284a'",",'Col':",COLUMN(#REF!),",'Row':",ROW(#REF!),",","'ColDynamic':",COLUMN(#REF!),",","'RowDynamic':",ROW(#REF!),",","'Format':'numberic'",",'Value':'",SUBSTITUTE(#REF!,"'","\'"),"','TargetCode':''}")</f>
        <v>#REF!</v>
      </c>
    </row>
    <row r="850" ht="12.75">
      <c r="A850" t="e">
        <f>CONCATENATE("{'SheetId':'5aa68f19-226c-4c6d-89c4-5a06385e112a'",",","'UId':'5d7a928c-7025-42a0-87a1-7858bddb2e11'",",'Col':",COLUMN(#REF!),",'Row':",ROW(#REF!),",","'ColDynamic':",COLUMN(#REF!),",","'RowDynamic':",ROW(#REF!),",","'Format':'numberic'",",'Value':'",SUBSTITUTE(#REF!,"'","\'"),"','TargetCode':''}")</f>
        <v>#REF!</v>
      </c>
    </row>
    <row r="851" ht="12.75">
      <c r="A851" t="e">
        <f>CONCATENATE("{'SheetId':'5aa68f19-226c-4c6d-89c4-5a06385e112a'",",","'UId':'2535b054-4cac-434e-ac09-49ecdd93a60a'",",'Col':",COLUMN(#REF!),",'Row':",ROW(#REF!),",","'ColDynamic':",COLUMN(#REF!),",","'RowDynamic':",ROW(#REF!),",","'Format':'numberic'",",'Value':'",SUBSTITUTE(#REF!,"'","\'"),"','TargetCode':''}")</f>
        <v>#REF!</v>
      </c>
    </row>
    <row r="852" ht="12.75">
      <c r="A852" t="e">
        <f>CONCATENATE("{'SheetId':'5aa68f19-226c-4c6d-89c4-5a06385e112a'",",","'UId':'b0892778-e633-4fa6-991e-d201fe920c06'",",'Col':",COLUMN(#REF!),",'Row':",ROW(#REF!),",","'Format':'numberic'",",'Value':'",SUBSTITUTE(#REF!,"'","\'"),"','TargetCode':''}")</f>
        <v>#REF!</v>
      </c>
    </row>
    <row r="853" ht="12.75">
      <c r="A853" t="e">
        <f>CONCATENATE("{'SheetId':'5aa68f19-226c-4c6d-89c4-5a06385e112a'",",","'UId':'9d0eceda-75cb-41ea-bf7a-bcf22621199a'",",'Col':",COLUMN(#REF!),",'Row':",ROW(#REF!),",","'Format':'numberic'",",'Value':'",SUBSTITUTE(#REF!,"'","\'"),"','TargetCode':''}")</f>
        <v>#REF!</v>
      </c>
    </row>
    <row r="854" ht="12.75">
      <c r="A854" t="e">
        <f>CONCATENATE("{'SheetId':'5aa68f19-226c-4c6d-89c4-5a06385e112a'",",","'UId':'529598bb-6460-4815-9538-03c84a97a8c1'",",'Col':",COLUMN(#REF!),",'Row':",ROW(#REF!),",","'Format':'numberic'",",'Value':'",SUBSTITUTE(#REF!,"'","\'"),"','TargetCode':''}")</f>
        <v>#REF!</v>
      </c>
    </row>
    <row r="855" ht="12.75">
      <c r="A855" t="e">
        <f>CONCATENATE("{'SheetId':'5aa68f19-226c-4c6d-89c4-5a06385e112a'",",","'UId':'7753c3fb-cf2b-4f1d-aa3e-c0e34a6ddb0a'",",'Col':",COLUMN(#REF!),",'Row':",ROW(#REF!),",","'Format':'numberic'",",'Value':'",SUBSTITUTE(#REF!,"'","\'"),"','TargetCode':''}")</f>
        <v>#REF!</v>
      </c>
    </row>
    <row r="856" ht="12.75">
      <c r="A856" t="e">
        <f>CONCATENATE("{'SheetId':'5aa68f19-226c-4c6d-89c4-5a06385e112a'",",","'UId':'0e23f18c-48df-4f1d-9913-5f93ed1ce959'",",'Col':",COLUMN(#REF!),",'Row':",ROW(#REF!),",","'Format':'numberic'",",'Value':'",SUBSTITUTE(#REF!,"'","\'"),"','TargetCode':''}")</f>
        <v>#REF!</v>
      </c>
    </row>
    <row r="857" ht="12.75">
      <c r="A857" t="e">
        <f>CONCATENATE("{'SheetId':'5aa68f19-226c-4c6d-89c4-5a06385e112a'",",","'UId':'4c8ce157-b82b-4911-97ce-c3d8c0344035'",",'Col':",COLUMN(#REF!),",'Row':",ROW(#REF!),",","'Format':'numberic'",",'Value':'",SUBSTITUTE(#REF!,"'","\'"),"','TargetCode':''}")</f>
        <v>#REF!</v>
      </c>
    </row>
    <row r="858" ht="12.75">
      <c r="A858" t="e">
        <f>CONCATENATE("{'SheetId':'5aa68f19-226c-4c6d-89c4-5a06385e112a'",",","'UId':'5e77ba2b-2f92-41a8-bddb-037f4699a606'",",'Col':",COLUMN(#REF!),",'Row':",ROW(#REF!),",","'ColDynamic':",COLUMN(#REF!),",","'RowDynamic':",ROW(#REF!),",","'Format':'string'",",'Value':'",SUBSTITUTE(#REF!,"'","\'"),"','TargetCode':''}")</f>
        <v>#REF!</v>
      </c>
    </row>
    <row r="859" ht="12.75">
      <c r="A859" t="e">
        <f>CONCATENATE("{'SheetId':'5aa68f19-226c-4c6d-89c4-5a06385e112a'",",","'UId':'5e253441-a58b-4b82-9180-bb16b193f4ad'",",'Col':",COLUMN(#REF!),",'Row':",ROW(#REF!),",","'ColDynamic':",COLUMN(#REF!),",","'RowDynamic':",ROW(#REF!),",","'Format':'string'",",'Value':'",SUBSTITUTE(#REF!,"'","\'"),"','TargetCode':''}")</f>
        <v>#REF!</v>
      </c>
    </row>
    <row r="860" ht="12.75">
      <c r="A860" t="e">
        <f>CONCATENATE("{'SheetId':'5aa68f19-226c-4c6d-89c4-5a06385e112a'",",","'UId':'33cbc2ac-e949-4095-9890-643f65693f21'",",'Col':",COLUMN(#REF!),",'Row':",ROW(#REF!),",","'ColDynamic':",COLUMN(#REF!),",","'RowDynamic':",ROW(#REF!),",","'Format':'numberic'",",'Value':'",SUBSTITUTE(#REF!,"'","\'"),"','TargetCode':''}")</f>
        <v>#REF!</v>
      </c>
    </row>
    <row r="861" ht="12.75">
      <c r="A861" t="e">
        <f>CONCATENATE("{'SheetId':'5aa68f19-226c-4c6d-89c4-5a06385e112a'",",","'UId':'b2e5abde-224d-4a73-b471-1b52e30785df'",",'Col':",COLUMN(#REF!),",'Row':",ROW(#REF!),",","'ColDynamic':",COLUMN(#REF!),",","'RowDynamic':",ROW(#REF!),",","'Format':'numberic'",",'Value':'",SUBSTITUTE(#REF!,"'","\'"),"','TargetCode':''}")</f>
        <v>#REF!</v>
      </c>
    </row>
    <row r="862" ht="12.75">
      <c r="A862" t="e">
        <f>CONCATENATE("{'SheetId':'5aa68f19-226c-4c6d-89c4-5a06385e112a'",",","'UId':'c8a3e0f1-5c62-4f1c-95de-31f24f0f542b'",",'Col':",COLUMN(#REF!),",'Row':",ROW(#REF!),",","'ColDynamic':",COLUMN(#REF!),",","'RowDynamic':",ROW(#REF!),",","'Format':'numberic'",",'Value':'",SUBSTITUTE(#REF!,"'","\'"),"','TargetCode':''}")</f>
        <v>#REF!</v>
      </c>
    </row>
    <row r="863" ht="12.75">
      <c r="A863" t="e">
        <f>CONCATENATE("{'SheetId':'5aa68f19-226c-4c6d-89c4-5a06385e112a'",",","'UId':'b47ef4b9-fdc5-4149-925a-a37f69444eed'",",'Col':",COLUMN(#REF!),",'Row':",ROW(#REF!),",","'ColDynamic':",COLUMN(#REF!),",","'RowDynamic':",ROW(#REF!),",","'Format':'numberic'",",'Value':'",SUBSTITUTE(#REF!,"'","\'"),"','TargetCode':''}")</f>
        <v>#REF!</v>
      </c>
    </row>
    <row r="864" ht="12.75">
      <c r="A864" t="e">
        <f>CONCATENATE("{'SheetId':'5aa68f19-226c-4c6d-89c4-5a06385e112a'",",","'UId':'98adec13-41ba-4188-98a9-e93760aa2fb3'",",'Col':",COLUMN(#REF!),",'Row':",ROW(#REF!),",","'ColDynamic':",COLUMN(#REF!),",","'RowDynamic':",ROW(#REF!),",","'Format':'numberic'",",'Value':'",SUBSTITUTE(#REF!,"'","\'"),"','TargetCode':''}")</f>
        <v>#REF!</v>
      </c>
    </row>
    <row r="865" ht="12.75">
      <c r="A865" t="e">
        <f>CONCATENATE("{'SheetId':'5aa68f19-226c-4c6d-89c4-5a06385e112a'",",","'UId':'ed5625e2-6cd9-430e-a3cc-4b96f23814b9'",",'Col':",COLUMN(#REF!),",'Row':",ROW(#REF!),",","'ColDynamic':",COLUMN(#REF!),",","'RowDynamic':",ROW(#REF!),",","'Format':'numberic'",",'Value':'",SUBSTITUTE(#REF!,"'","\'"),"','TargetCode':''}")</f>
        <v>#REF!</v>
      </c>
    </row>
    <row r="866" ht="12.75">
      <c r="A866" t="e">
        <f>CONCATENATE("{'SheetId':'5aa68f19-226c-4c6d-89c4-5a06385e112a'",",","'UId':'af4bc6fe-b0ca-4e53-afc3-e9117b2afaa9'",",'Col':",COLUMN(#REF!),",'Row':",ROW(#REF!),",","'Format':'numberic'",",'Value':'",SUBSTITUTE(#REF!,"'","\'"),"','TargetCode':''}")</f>
        <v>#REF!</v>
      </c>
    </row>
    <row r="867" ht="12.75">
      <c r="A867" t="e">
        <f>CONCATENATE("{'SheetId':'5aa68f19-226c-4c6d-89c4-5a06385e112a'",",","'UId':'17d661cc-f192-4c00-861a-7630d434672c'",",'Col':",COLUMN(#REF!),",'Row':",ROW(#REF!),",","'Format':'numberic'",",'Value':'",SUBSTITUTE(#REF!,"'","\'"),"','TargetCode':''}")</f>
        <v>#REF!</v>
      </c>
    </row>
    <row r="868" ht="12.75">
      <c r="A868" t="e">
        <f>CONCATENATE("{'SheetId':'5aa68f19-226c-4c6d-89c4-5a06385e112a'",",","'UId':'f3133392-ba33-47a1-b02c-db5432624692'",",'Col':",COLUMN(#REF!),",'Row':",ROW(#REF!),",","'Format':'numberic'",",'Value':'",SUBSTITUTE(#REF!,"'","\'"),"','TargetCode':''}")</f>
        <v>#REF!</v>
      </c>
    </row>
    <row r="869" ht="12.75">
      <c r="A869" t="e">
        <f>CONCATENATE("{'SheetId':'5aa68f19-226c-4c6d-89c4-5a06385e112a'",",","'UId':'4c597590-9a84-467c-ba3a-de6122f1b542'",",'Col':",COLUMN(#REF!),",'Row':",ROW(#REF!),",","'Format':'numberic'",",'Value':'",SUBSTITUTE(#REF!,"'","\'"),"','TargetCode':''}")</f>
        <v>#REF!</v>
      </c>
    </row>
    <row r="870" ht="12.75">
      <c r="A870" t="e">
        <f>CONCATENATE("{'SheetId':'5aa68f19-226c-4c6d-89c4-5a06385e112a'",",","'UId':'741c7bc9-6e39-4603-910b-b160c3f6e1c7'",",'Col':",COLUMN(#REF!),",'Row':",ROW(#REF!),",","'Format':'numberic'",",'Value':'",SUBSTITUTE(#REF!,"'","\'"),"','TargetCode':''}")</f>
        <v>#REF!</v>
      </c>
    </row>
    <row r="871" ht="12.75">
      <c r="A871" t="e">
        <f>CONCATENATE("{'SheetId':'5aa68f19-226c-4c6d-89c4-5a06385e112a'",",","'UId':'d083e204-2056-47a9-8ba0-985adc796b26'",",'Col':",COLUMN(#REF!),",'Row':",ROW(#REF!),",","'Format':'numberic'",",'Value':'",SUBSTITUTE(#REF!,"'","\'"),"','TargetCode':''}")</f>
        <v>#REF!</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57"/>
  <sheetViews>
    <sheetView zoomScalePageLayoutView="0" workbookViewId="0" topLeftCell="A44">
      <selection activeCell="D54" sqref="D54:F57"/>
    </sheetView>
  </sheetViews>
  <sheetFormatPr defaultColWidth="9.140625" defaultRowHeight="12.75"/>
  <cols>
    <col min="1" max="1" width="6.8515625" style="7" customWidth="1"/>
    <col min="2" max="2" width="45.28125" style="9" customWidth="1"/>
    <col min="3" max="3" width="10.28125" style="7" customWidth="1"/>
    <col min="4" max="4" width="17.7109375" style="7" customWidth="1"/>
    <col min="5" max="5" width="18.7109375" style="7" customWidth="1"/>
    <col min="6" max="6" width="21.421875" style="7" customWidth="1"/>
    <col min="7" max="16384" width="9.140625" style="7" customWidth="1"/>
  </cols>
  <sheetData>
    <row r="1" spans="1:6" ht="31.5">
      <c r="A1" s="6" t="s">
        <v>6</v>
      </c>
      <c r="B1" s="8" t="s">
        <v>7</v>
      </c>
      <c r="C1" s="6" t="s">
        <v>55</v>
      </c>
      <c r="D1" s="6" t="s">
        <v>56</v>
      </c>
      <c r="E1" s="6" t="s">
        <v>57</v>
      </c>
      <c r="F1" s="6" t="s">
        <v>58</v>
      </c>
    </row>
    <row r="2" spans="1:6" ht="25.5">
      <c r="A2" s="26" t="s">
        <v>59</v>
      </c>
      <c r="B2" s="27" t="s">
        <v>231</v>
      </c>
      <c r="C2" s="28" t="s">
        <v>60</v>
      </c>
      <c r="D2" s="29"/>
      <c r="E2" s="30"/>
      <c r="F2" s="31"/>
    </row>
    <row r="3" spans="1:6" ht="25.5">
      <c r="A3" s="26" t="s">
        <v>61</v>
      </c>
      <c r="B3" s="28" t="s">
        <v>232</v>
      </c>
      <c r="C3" s="28" t="s">
        <v>62</v>
      </c>
      <c r="D3" s="29">
        <v>38499958270</v>
      </c>
      <c r="E3" s="30">
        <v>51092006642</v>
      </c>
      <c r="F3" s="31">
        <v>69.37466777944715</v>
      </c>
    </row>
    <row r="4" spans="1:6" ht="25.5">
      <c r="A4" s="26"/>
      <c r="B4" s="32" t="s">
        <v>233</v>
      </c>
      <c r="C4" s="28" t="s">
        <v>63</v>
      </c>
      <c r="D4" s="29">
        <v>36000000000</v>
      </c>
      <c r="E4" s="30">
        <v>41000000000</v>
      </c>
      <c r="F4" s="31"/>
    </row>
    <row r="5" spans="1:6" ht="15" customHeight="1">
      <c r="A5" s="75" t="s">
        <v>64</v>
      </c>
      <c r="B5" s="75" t="s">
        <v>64</v>
      </c>
      <c r="C5" s="75" t="s">
        <v>64</v>
      </c>
      <c r="D5" s="75" t="s">
        <v>64</v>
      </c>
      <c r="E5" s="75" t="s">
        <v>64</v>
      </c>
      <c r="F5" s="75" t="s">
        <v>64</v>
      </c>
    </row>
    <row r="6" spans="1:6" ht="25.5">
      <c r="A6" s="26"/>
      <c r="B6" s="32" t="s">
        <v>234</v>
      </c>
      <c r="C6" s="28" t="s">
        <v>65</v>
      </c>
      <c r="D6" s="29">
        <v>2499958270</v>
      </c>
      <c r="E6" s="30">
        <v>10092006642</v>
      </c>
      <c r="F6" s="31">
        <v>4.504778244886431</v>
      </c>
    </row>
    <row r="7" spans="1:6" ht="15" customHeight="1">
      <c r="A7" s="75" t="s">
        <v>64</v>
      </c>
      <c r="B7" s="75" t="s">
        <v>64</v>
      </c>
      <c r="C7" s="75" t="s">
        <v>64</v>
      </c>
      <c r="D7" s="75" t="s">
        <v>64</v>
      </c>
      <c r="E7" s="75" t="s">
        <v>64</v>
      </c>
      <c r="F7" s="75" t="s">
        <v>64</v>
      </c>
    </row>
    <row r="8" spans="1:6" ht="25.5">
      <c r="A8" s="26" t="s">
        <v>66</v>
      </c>
      <c r="B8" s="28" t="s">
        <v>235</v>
      </c>
      <c r="C8" s="28" t="s">
        <v>67</v>
      </c>
      <c r="D8" s="29">
        <v>82062508099</v>
      </c>
      <c r="E8" s="30">
        <v>72663387139</v>
      </c>
      <c r="F8" s="31">
        <v>1.5052128043393953</v>
      </c>
    </row>
    <row r="9" spans="1:6" ht="15" customHeight="1">
      <c r="A9" s="75" t="s">
        <v>64</v>
      </c>
      <c r="B9" s="75" t="s">
        <v>64</v>
      </c>
      <c r="C9" s="75" t="s">
        <v>64</v>
      </c>
      <c r="D9" s="75" t="s">
        <v>64</v>
      </c>
      <c r="E9" s="75" t="s">
        <v>64</v>
      </c>
      <c r="F9" s="75" t="s">
        <v>64</v>
      </c>
    </row>
    <row r="10" spans="1:6" ht="25.5">
      <c r="A10" s="26"/>
      <c r="B10" s="32" t="s">
        <v>236</v>
      </c>
      <c r="C10" s="28" t="s">
        <v>237</v>
      </c>
      <c r="D10" s="29">
        <v>7551078500</v>
      </c>
      <c r="E10" s="30">
        <v>346800</v>
      </c>
      <c r="F10" s="31"/>
    </row>
    <row r="11" spans="1:6" ht="25.5">
      <c r="A11" s="26"/>
      <c r="B11" s="32" t="s">
        <v>238</v>
      </c>
      <c r="C11" s="28" t="s">
        <v>239</v>
      </c>
      <c r="D11" s="29">
        <v>20606432212</v>
      </c>
      <c r="E11" s="30">
        <v>30758042952</v>
      </c>
      <c r="F11" s="31">
        <v>0.7150325095033604</v>
      </c>
    </row>
    <row r="12" spans="1:6" ht="25.5">
      <c r="A12" s="26"/>
      <c r="B12" s="32" t="s">
        <v>240</v>
      </c>
      <c r="C12" s="28" t="s">
        <v>241</v>
      </c>
      <c r="D12" s="29">
        <v>53904997387</v>
      </c>
      <c r="E12" s="30">
        <v>41904997387</v>
      </c>
      <c r="F12" s="31">
        <v>2.0974707152842433</v>
      </c>
    </row>
    <row r="13" spans="1:6" ht="25.5">
      <c r="A13" s="26"/>
      <c r="B13" s="32" t="s">
        <v>242</v>
      </c>
      <c r="C13" s="28" t="s">
        <v>243</v>
      </c>
      <c r="D13" s="29" t="s">
        <v>230</v>
      </c>
      <c r="E13" s="30" t="s">
        <v>230</v>
      </c>
      <c r="F13" s="31"/>
    </row>
    <row r="14" spans="1:6" ht="25.5">
      <c r="A14" s="26" t="s">
        <v>68</v>
      </c>
      <c r="B14" s="32" t="s">
        <v>244</v>
      </c>
      <c r="C14" s="28"/>
      <c r="D14" s="29" t="s">
        <v>230</v>
      </c>
      <c r="E14" s="30"/>
      <c r="F14" s="31"/>
    </row>
    <row r="15" spans="1:6" ht="25.5">
      <c r="A15" s="26" t="s">
        <v>70</v>
      </c>
      <c r="B15" s="28" t="s">
        <v>245</v>
      </c>
      <c r="C15" s="28" t="s">
        <v>71</v>
      </c>
      <c r="D15" s="29">
        <v>269973215</v>
      </c>
      <c r="E15" s="30">
        <v>797293466</v>
      </c>
      <c r="F15" s="31">
        <v>1.1244532558494291</v>
      </c>
    </row>
    <row r="16" spans="1:6" ht="15" customHeight="1">
      <c r="A16" s="75" t="s">
        <v>64</v>
      </c>
      <c r="B16" s="75" t="s">
        <v>64</v>
      </c>
      <c r="C16" s="75" t="s">
        <v>64</v>
      </c>
      <c r="D16" s="75" t="s">
        <v>64</v>
      </c>
      <c r="E16" s="75" t="s">
        <v>64</v>
      </c>
      <c r="F16" s="75" t="s">
        <v>64</v>
      </c>
    </row>
    <row r="17" spans="1:6" ht="25.5">
      <c r="A17" s="26" t="s">
        <v>72</v>
      </c>
      <c r="B17" s="28" t="s">
        <v>246</v>
      </c>
      <c r="C17" s="28" t="s">
        <v>73</v>
      </c>
      <c r="D17" s="29">
        <v>2396706846</v>
      </c>
      <c r="E17" s="30">
        <v>1293352330</v>
      </c>
      <c r="F17" s="31">
        <v>1.6681724949328023</v>
      </c>
    </row>
    <row r="18" spans="1:6" ht="15" customHeight="1">
      <c r="A18" s="75" t="s">
        <v>64</v>
      </c>
      <c r="B18" s="75" t="s">
        <v>64</v>
      </c>
      <c r="C18" s="75" t="s">
        <v>64</v>
      </c>
      <c r="D18" s="75" t="s">
        <v>64</v>
      </c>
      <c r="E18" s="75" t="s">
        <v>64</v>
      </c>
      <c r="F18" s="75" t="s">
        <v>64</v>
      </c>
    </row>
    <row r="19" spans="1:6" ht="25.5">
      <c r="A19" s="26" t="s">
        <v>74</v>
      </c>
      <c r="B19" s="28" t="s">
        <v>247</v>
      </c>
      <c r="C19" s="28"/>
      <c r="D19" s="29"/>
      <c r="E19" s="30"/>
      <c r="F19" s="31"/>
    </row>
    <row r="20" spans="1:6" ht="15" customHeight="1">
      <c r="A20" s="75" t="s">
        <v>64</v>
      </c>
      <c r="B20" s="75" t="s">
        <v>64</v>
      </c>
      <c r="C20" s="75" t="s">
        <v>64</v>
      </c>
      <c r="D20" s="75" t="s">
        <v>64</v>
      </c>
      <c r="E20" s="75" t="s">
        <v>64</v>
      </c>
      <c r="F20" s="75" t="s">
        <v>64</v>
      </c>
    </row>
    <row r="21" spans="1:6" ht="25.5">
      <c r="A21" s="26" t="s">
        <v>76</v>
      </c>
      <c r="B21" s="28" t="s">
        <v>248</v>
      </c>
      <c r="C21" s="28" t="s">
        <v>77</v>
      </c>
      <c r="D21" s="29"/>
      <c r="E21" s="30">
        <v>0</v>
      </c>
      <c r="F21" s="31"/>
    </row>
    <row r="22" spans="1:6" ht="15" customHeight="1">
      <c r="A22" s="75" t="s">
        <v>64</v>
      </c>
      <c r="B22" s="75" t="s">
        <v>64</v>
      </c>
      <c r="C22" s="75" t="s">
        <v>64</v>
      </c>
      <c r="D22" s="75" t="s">
        <v>64</v>
      </c>
      <c r="E22" s="75" t="s">
        <v>64</v>
      </c>
      <c r="F22" s="75" t="s">
        <v>64</v>
      </c>
    </row>
    <row r="23" spans="1:6" ht="25.5">
      <c r="A23" s="26" t="s">
        <v>78</v>
      </c>
      <c r="B23" s="28" t="s">
        <v>249</v>
      </c>
      <c r="C23" s="28" t="s">
        <v>79</v>
      </c>
      <c r="D23" s="29"/>
      <c r="E23" s="30">
        <v>0</v>
      </c>
      <c r="F23" s="31"/>
    </row>
    <row r="24" spans="1:6" ht="15" customHeight="1">
      <c r="A24" s="75" t="s">
        <v>64</v>
      </c>
      <c r="B24" s="75" t="s">
        <v>64</v>
      </c>
      <c r="C24" s="75" t="s">
        <v>64</v>
      </c>
      <c r="D24" s="75" t="s">
        <v>64</v>
      </c>
      <c r="E24" s="75" t="s">
        <v>64</v>
      </c>
      <c r="F24" s="75" t="s">
        <v>64</v>
      </c>
    </row>
    <row r="25" spans="1:6" ht="25.5">
      <c r="A25" s="26" t="s">
        <v>80</v>
      </c>
      <c r="B25" s="28" t="s">
        <v>250</v>
      </c>
      <c r="C25" s="28" t="s">
        <v>81</v>
      </c>
      <c r="D25" s="29"/>
      <c r="E25" s="30">
        <v>0</v>
      </c>
      <c r="F25" s="31"/>
    </row>
    <row r="26" spans="1:6" ht="15" customHeight="1">
      <c r="A26" s="75" t="s">
        <v>64</v>
      </c>
      <c r="B26" s="75" t="s">
        <v>64</v>
      </c>
      <c r="C26" s="75" t="s">
        <v>64</v>
      </c>
      <c r="D26" s="75" t="s">
        <v>64</v>
      </c>
      <c r="E26" s="75" t="s">
        <v>64</v>
      </c>
      <c r="F26" s="75" t="s">
        <v>64</v>
      </c>
    </row>
    <row r="27" spans="1:6" ht="25.5">
      <c r="A27" s="33" t="s">
        <v>82</v>
      </c>
      <c r="B27" s="27" t="s">
        <v>251</v>
      </c>
      <c r="C27" s="27" t="s">
        <v>83</v>
      </c>
      <c r="D27" s="34">
        <v>123229146430</v>
      </c>
      <c r="E27" s="35">
        <v>125846039577</v>
      </c>
      <c r="F27" s="36">
        <v>2.1714138137384493</v>
      </c>
    </row>
    <row r="28" spans="1:6" ht="25.5">
      <c r="A28" s="33" t="s">
        <v>84</v>
      </c>
      <c r="B28" s="27" t="s">
        <v>252</v>
      </c>
      <c r="C28" s="28" t="s">
        <v>85</v>
      </c>
      <c r="D28" s="29"/>
      <c r="E28" s="30"/>
      <c r="F28" s="31"/>
    </row>
    <row r="29" spans="1:6" ht="25.5">
      <c r="A29" s="33" t="s">
        <v>86</v>
      </c>
      <c r="B29" s="27" t="s">
        <v>253</v>
      </c>
      <c r="C29" s="28"/>
      <c r="D29" s="29"/>
      <c r="E29" s="30"/>
      <c r="F29" s="31"/>
    </row>
    <row r="30" spans="1:6" ht="15" customHeight="1">
      <c r="A30" s="75" t="s">
        <v>64</v>
      </c>
      <c r="B30" s="75" t="s">
        <v>64</v>
      </c>
      <c r="C30" s="75" t="s">
        <v>64</v>
      </c>
      <c r="D30" s="75" t="s">
        <v>64</v>
      </c>
      <c r="E30" s="75" t="s">
        <v>64</v>
      </c>
      <c r="F30" s="75" t="s">
        <v>64</v>
      </c>
    </row>
    <row r="31" spans="1:6" ht="25.5">
      <c r="A31" s="33" t="s">
        <v>88</v>
      </c>
      <c r="B31" s="27" t="s">
        <v>254</v>
      </c>
      <c r="C31" s="27" t="s">
        <v>89</v>
      </c>
      <c r="D31" s="34"/>
      <c r="E31" s="35">
        <v>0</v>
      </c>
      <c r="F31" s="31"/>
    </row>
    <row r="32" spans="1:6" ht="15" customHeight="1">
      <c r="A32" s="75" t="s">
        <v>64</v>
      </c>
      <c r="B32" s="75" t="s">
        <v>64</v>
      </c>
      <c r="C32" s="75" t="s">
        <v>64</v>
      </c>
      <c r="D32" s="75" t="s">
        <v>64</v>
      </c>
      <c r="E32" s="75" t="s">
        <v>64</v>
      </c>
      <c r="F32" s="75" t="s">
        <v>64</v>
      </c>
    </row>
    <row r="33" spans="1:6" ht="25.5">
      <c r="A33" s="26"/>
      <c r="B33" s="32" t="s">
        <v>255</v>
      </c>
      <c r="C33" s="28" t="s">
        <v>256</v>
      </c>
      <c r="D33" s="29"/>
      <c r="E33" s="30">
        <v>0</v>
      </c>
      <c r="F33" s="31"/>
    </row>
    <row r="34" spans="1:6" ht="25.5">
      <c r="A34" s="26"/>
      <c r="B34" s="32" t="s">
        <v>257</v>
      </c>
      <c r="C34" s="28" t="s">
        <v>258</v>
      </c>
      <c r="D34" s="29"/>
      <c r="E34" s="30">
        <v>0</v>
      </c>
      <c r="F34" s="31"/>
    </row>
    <row r="35" spans="1:6" ht="25.5">
      <c r="A35" s="33" t="s">
        <v>90</v>
      </c>
      <c r="B35" s="27" t="s">
        <v>259</v>
      </c>
      <c r="C35" s="27" t="s">
        <v>91</v>
      </c>
      <c r="D35" s="34">
        <v>744381276</v>
      </c>
      <c r="E35" s="35">
        <v>6530604209</v>
      </c>
      <c r="F35" s="36">
        <v>3.324871905127566</v>
      </c>
    </row>
    <row r="36" spans="1:6" ht="15" customHeight="1">
      <c r="A36" s="75" t="s">
        <v>64</v>
      </c>
      <c r="B36" s="75" t="s">
        <v>64</v>
      </c>
      <c r="C36" s="75" t="s">
        <v>64</v>
      </c>
      <c r="D36" s="75" t="s">
        <v>64</v>
      </c>
      <c r="E36" s="75" t="s">
        <v>64</v>
      </c>
      <c r="F36" s="75" t="s">
        <v>64</v>
      </c>
    </row>
    <row r="37" spans="1:6" ht="25.5">
      <c r="A37" s="26"/>
      <c r="B37" s="28" t="s">
        <v>260</v>
      </c>
      <c r="C37" s="28" t="s">
        <v>202</v>
      </c>
      <c r="D37" s="29" t="s">
        <v>230</v>
      </c>
      <c r="E37" s="30">
        <v>0</v>
      </c>
      <c r="F37" s="31"/>
    </row>
    <row r="38" spans="1:6" ht="25.5">
      <c r="A38" s="26"/>
      <c r="B38" s="28" t="s">
        <v>261</v>
      </c>
      <c r="C38" s="28" t="s">
        <v>203</v>
      </c>
      <c r="D38" s="29">
        <v>300000000</v>
      </c>
      <c r="E38" s="30">
        <v>6287208351</v>
      </c>
      <c r="F38" s="31"/>
    </row>
    <row r="39" spans="1:6" ht="25.5">
      <c r="A39" s="26"/>
      <c r="B39" s="28" t="s">
        <v>262</v>
      </c>
      <c r="C39" s="28" t="s">
        <v>204</v>
      </c>
      <c r="D39" s="29"/>
      <c r="E39" s="30">
        <v>0</v>
      </c>
      <c r="F39" s="31"/>
    </row>
    <row r="40" spans="1:6" ht="25.5">
      <c r="A40" s="26"/>
      <c r="B40" s="28" t="s">
        <v>263</v>
      </c>
      <c r="C40" s="28" t="s">
        <v>205</v>
      </c>
      <c r="D40" s="29">
        <v>1</v>
      </c>
      <c r="E40" s="30">
        <v>1</v>
      </c>
      <c r="F40" s="31">
        <v>1</v>
      </c>
    </row>
    <row r="41" spans="1:6" ht="38.25">
      <c r="A41" s="26"/>
      <c r="B41" s="28" t="s">
        <v>264</v>
      </c>
      <c r="C41" s="28" t="s">
        <v>206</v>
      </c>
      <c r="D41" s="29" t="s">
        <v>230</v>
      </c>
      <c r="E41" s="30" t="s">
        <v>230</v>
      </c>
      <c r="F41" s="31"/>
    </row>
    <row r="42" spans="1:6" ht="25.5">
      <c r="A42" s="26"/>
      <c r="B42" s="28" t="s">
        <v>265</v>
      </c>
      <c r="C42" s="28" t="s">
        <v>207</v>
      </c>
      <c r="D42" s="29">
        <v>4000906</v>
      </c>
      <c r="E42" s="30">
        <v>2265738</v>
      </c>
      <c r="F42" s="31">
        <v>2.653108374165372</v>
      </c>
    </row>
    <row r="43" spans="1:6" ht="25.5">
      <c r="A43" s="26"/>
      <c r="B43" s="28" t="s">
        <v>266</v>
      </c>
      <c r="C43" s="28" t="s">
        <v>208</v>
      </c>
      <c r="D43" s="29">
        <v>146094231</v>
      </c>
      <c r="E43" s="30">
        <v>107531810</v>
      </c>
      <c r="F43" s="31">
        <v>3.1635554544448214</v>
      </c>
    </row>
    <row r="44" spans="1:6" ht="25.5">
      <c r="A44" s="26"/>
      <c r="B44" s="28" t="s">
        <v>267</v>
      </c>
      <c r="C44" s="28" t="s">
        <v>209</v>
      </c>
      <c r="D44" s="29">
        <v>45139625</v>
      </c>
      <c r="E44" s="30">
        <v>15043382</v>
      </c>
      <c r="F44" s="31">
        <v>1.1265227024910185</v>
      </c>
    </row>
    <row r="45" spans="1:6" ht="25.5">
      <c r="A45" s="26"/>
      <c r="B45" s="28" t="s">
        <v>268</v>
      </c>
      <c r="C45" s="28" t="s">
        <v>210</v>
      </c>
      <c r="D45" s="29">
        <v>16500000</v>
      </c>
      <c r="E45" s="30">
        <v>5500000</v>
      </c>
      <c r="F45" s="31">
        <v>1.5</v>
      </c>
    </row>
    <row r="46" spans="1:6" ht="25.5">
      <c r="A46" s="26"/>
      <c r="B46" s="28" t="s">
        <v>269</v>
      </c>
      <c r="C46" s="28" t="s">
        <v>211</v>
      </c>
      <c r="D46" s="29">
        <v>49500000</v>
      </c>
      <c r="E46" s="30">
        <v>16500000</v>
      </c>
      <c r="F46" s="31">
        <v>1.5</v>
      </c>
    </row>
    <row r="47" spans="1:6" ht="25.5">
      <c r="A47" s="26"/>
      <c r="B47" s="28" t="s">
        <v>270</v>
      </c>
      <c r="C47" s="28" t="s">
        <v>212</v>
      </c>
      <c r="D47" s="29">
        <v>11000000</v>
      </c>
      <c r="E47" s="30">
        <v>11000000</v>
      </c>
      <c r="F47" s="31">
        <v>1</v>
      </c>
    </row>
    <row r="48" spans="1:6" ht="25.5">
      <c r="A48" s="26"/>
      <c r="B48" s="28" t="s">
        <v>271</v>
      </c>
      <c r="C48" s="28" t="s">
        <v>213</v>
      </c>
      <c r="D48" s="29">
        <v>57591788</v>
      </c>
      <c r="E48" s="30">
        <v>38183560</v>
      </c>
      <c r="F48" s="31">
        <v>1.0382869356315438</v>
      </c>
    </row>
    <row r="49" spans="1:6" ht="25.5">
      <c r="A49" s="26"/>
      <c r="B49" s="28" t="s">
        <v>272</v>
      </c>
      <c r="C49" s="28" t="s">
        <v>214</v>
      </c>
      <c r="D49" s="29">
        <v>11367781</v>
      </c>
      <c r="E49" s="30">
        <v>11326690</v>
      </c>
      <c r="F49" s="31">
        <v>2.2874612192596353</v>
      </c>
    </row>
    <row r="50" spans="1:6" ht="51">
      <c r="A50" s="26"/>
      <c r="B50" s="28" t="s">
        <v>273</v>
      </c>
      <c r="C50" s="28" t="s">
        <v>215</v>
      </c>
      <c r="D50" s="29">
        <v>103186944</v>
      </c>
      <c r="E50" s="30">
        <v>36044677</v>
      </c>
      <c r="F50" s="31">
        <v>4.988075155053536</v>
      </c>
    </row>
    <row r="51" spans="1:6" ht="25.5">
      <c r="A51" s="26"/>
      <c r="B51" s="28" t="s">
        <v>274</v>
      </c>
      <c r="C51" s="28" t="s">
        <v>216</v>
      </c>
      <c r="D51" s="29" t="s">
        <v>230</v>
      </c>
      <c r="E51" s="30" t="s">
        <v>230</v>
      </c>
      <c r="F51" s="31"/>
    </row>
    <row r="52" spans="1:6" ht="25.5">
      <c r="A52" s="26"/>
      <c r="B52" s="28" t="s">
        <v>275</v>
      </c>
      <c r="C52" s="28" t="s">
        <v>217</v>
      </c>
      <c r="D52" s="29" t="s">
        <v>230</v>
      </c>
      <c r="E52" s="30" t="s">
        <v>230</v>
      </c>
      <c r="F52" s="31"/>
    </row>
    <row r="53" spans="1:6" ht="25.5">
      <c r="A53" s="26"/>
      <c r="B53" s="28" t="s">
        <v>276</v>
      </c>
      <c r="C53" s="28" t="s">
        <v>218</v>
      </c>
      <c r="D53" s="29" t="s">
        <v>230</v>
      </c>
      <c r="E53" s="30" t="s">
        <v>230</v>
      </c>
      <c r="F53" s="31"/>
    </row>
    <row r="54" spans="1:6" ht="25.5">
      <c r="A54" s="33" t="s">
        <v>92</v>
      </c>
      <c r="B54" s="27" t="s">
        <v>277</v>
      </c>
      <c r="C54" s="27" t="s">
        <v>93</v>
      </c>
      <c r="D54" s="34">
        <v>744381276</v>
      </c>
      <c r="E54" s="35">
        <v>6530604209</v>
      </c>
      <c r="F54" s="31">
        <v>3.324871905127566</v>
      </c>
    </row>
    <row r="55" spans="1:6" ht="25.5">
      <c r="A55" s="26"/>
      <c r="B55" s="37" t="s">
        <v>278</v>
      </c>
      <c r="C55" s="28" t="s">
        <v>94</v>
      </c>
      <c r="D55" s="34">
        <v>122484765154</v>
      </c>
      <c r="E55" s="35">
        <v>119315435368</v>
      </c>
      <c r="F55" s="31">
        <v>2.1668453709671645</v>
      </c>
    </row>
    <row r="56" spans="1:6" ht="25.5">
      <c r="A56" s="26"/>
      <c r="B56" s="32" t="s">
        <v>279</v>
      </c>
      <c r="C56" s="28" t="s">
        <v>95</v>
      </c>
      <c r="D56" s="38">
        <v>10855771.94</v>
      </c>
      <c r="E56" s="39">
        <v>10733182.83</v>
      </c>
      <c r="F56" s="31">
        <v>1.9975100484723216</v>
      </c>
    </row>
    <row r="57" spans="1:6" ht="25.5">
      <c r="A57" s="26"/>
      <c r="B57" s="32" t="s">
        <v>280</v>
      </c>
      <c r="C57" s="28" t="s">
        <v>96</v>
      </c>
      <c r="D57" s="38">
        <v>11282.91</v>
      </c>
      <c r="E57" s="39">
        <v>11116.5</v>
      </c>
      <c r="F57" s="31">
        <v>1.084773155327718</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7">
      <selection activeCell="D53" sqref="D53:F53"/>
    </sheetView>
  </sheetViews>
  <sheetFormatPr defaultColWidth="9.140625" defaultRowHeight="12.75"/>
  <cols>
    <col min="1" max="1" width="6.8515625" style="7" customWidth="1"/>
    <col min="2" max="2" width="62.57421875" style="7" customWidth="1"/>
    <col min="3" max="3" width="13.00390625" style="7" customWidth="1"/>
    <col min="4" max="4" width="17.8515625" style="7" customWidth="1"/>
    <col min="5" max="5" width="17.57421875" style="7" customWidth="1"/>
    <col min="6" max="6" width="22.00390625" style="7" customWidth="1"/>
    <col min="7" max="16384" width="9.140625" style="7" customWidth="1"/>
  </cols>
  <sheetData>
    <row r="1" spans="1:6" ht="31.5">
      <c r="A1" s="6" t="s">
        <v>6</v>
      </c>
      <c r="B1" s="6" t="s">
        <v>97</v>
      </c>
      <c r="C1" s="6" t="s">
        <v>55</v>
      </c>
      <c r="D1" s="6" t="s">
        <v>56</v>
      </c>
      <c r="E1" s="6" t="s">
        <v>57</v>
      </c>
      <c r="F1" s="6" t="s">
        <v>98</v>
      </c>
    </row>
    <row r="2" spans="1:6" ht="25.5">
      <c r="A2" s="56" t="s">
        <v>59</v>
      </c>
      <c r="B2" s="57" t="s">
        <v>281</v>
      </c>
      <c r="C2" s="57" t="s">
        <v>69</v>
      </c>
      <c r="D2" s="58">
        <v>2031961654</v>
      </c>
      <c r="E2" s="58">
        <v>1537639454</v>
      </c>
      <c r="F2" s="58">
        <v>4990594700</v>
      </c>
    </row>
    <row r="3" spans="1:6" ht="25.5">
      <c r="A3" s="59">
        <v>1</v>
      </c>
      <c r="B3" s="60" t="s">
        <v>282</v>
      </c>
      <c r="C3" s="57"/>
      <c r="D3" s="58"/>
      <c r="E3" s="58"/>
      <c r="F3" s="58"/>
    </row>
    <row r="4" spans="1:6" ht="15" customHeight="1">
      <c r="A4" s="75" t="s">
        <v>64</v>
      </c>
      <c r="B4" s="75" t="s">
        <v>64</v>
      </c>
      <c r="C4" s="75" t="s">
        <v>64</v>
      </c>
      <c r="D4" s="75" t="s">
        <v>64</v>
      </c>
      <c r="E4" s="75" t="s">
        <v>64</v>
      </c>
      <c r="F4" s="75" t="s">
        <v>64</v>
      </c>
    </row>
    <row r="5" spans="1:6" ht="25.5">
      <c r="A5" s="59">
        <v>2</v>
      </c>
      <c r="B5" s="60" t="s">
        <v>283</v>
      </c>
      <c r="C5" s="60" t="s">
        <v>75</v>
      </c>
      <c r="D5" s="61">
        <v>733063705</v>
      </c>
      <c r="E5" s="61">
        <v>575959879</v>
      </c>
      <c r="F5" s="61">
        <v>1895739828</v>
      </c>
    </row>
    <row r="6" spans="1:6" ht="15" customHeight="1">
      <c r="A6" s="75" t="s">
        <v>64</v>
      </c>
      <c r="B6" s="75" t="s">
        <v>64</v>
      </c>
      <c r="C6" s="75" t="s">
        <v>64</v>
      </c>
      <c r="D6" s="75" t="s">
        <v>64</v>
      </c>
      <c r="E6" s="75" t="s">
        <v>64</v>
      </c>
      <c r="F6" s="75" t="s">
        <v>64</v>
      </c>
    </row>
    <row r="7" spans="1:6" ht="15" customHeight="1">
      <c r="A7" s="59">
        <v>3</v>
      </c>
      <c r="B7" s="60" t="s">
        <v>284</v>
      </c>
      <c r="C7" s="60" t="s">
        <v>87</v>
      </c>
      <c r="D7" s="62">
        <v>1298897949</v>
      </c>
      <c r="E7" s="61">
        <v>961679575</v>
      </c>
      <c r="F7" s="63">
        <v>3094854872</v>
      </c>
    </row>
    <row r="8" spans="1:6" ht="15" customHeight="1">
      <c r="A8" s="75" t="s">
        <v>64</v>
      </c>
      <c r="B8" s="75" t="s">
        <v>64</v>
      </c>
      <c r="C8" s="75" t="s">
        <v>64</v>
      </c>
      <c r="D8" s="75" t="s">
        <v>64</v>
      </c>
      <c r="E8" s="75" t="s">
        <v>64</v>
      </c>
      <c r="F8" s="75" t="s">
        <v>64</v>
      </c>
    </row>
    <row r="9" spans="1:6" ht="25.5">
      <c r="A9" s="59">
        <v>4</v>
      </c>
      <c r="B9" s="60" t="s">
        <v>285</v>
      </c>
      <c r="C9" s="60" t="s">
        <v>99</v>
      </c>
      <c r="D9" s="61"/>
      <c r="E9" s="61"/>
      <c r="F9" s="61"/>
    </row>
    <row r="10" spans="1:6" ht="15" customHeight="1">
      <c r="A10" s="75" t="s">
        <v>64</v>
      </c>
      <c r="B10" s="75" t="s">
        <v>64</v>
      </c>
      <c r="C10" s="75" t="s">
        <v>64</v>
      </c>
      <c r="D10" s="75" t="s">
        <v>64</v>
      </c>
      <c r="E10" s="75" t="s">
        <v>64</v>
      </c>
      <c r="F10" s="75" t="s">
        <v>64</v>
      </c>
    </row>
    <row r="11" spans="1:6" ht="25.5">
      <c r="A11" s="56" t="s">
        <v>84</v>
      </c>
      <c r="B11" s="57" t="s">
        <v>286</v>
      </c>
      <c r="C11" s="57" t="s">
        <v>100</v>
      </c>
      <c r="D11" s="58">
        <v>327373130</v>
      </c>
      <c r="E11" s="58">
        <v>277868244</v>
      </c>
      <c r="F11" s="58">
        <v>904877064</v>
      </c>
    </row>
    <row r="12" spans="1:6" ht="25.5">
      <c r="A12" s="59">
        <v>1</v>
      </c>
      <c r="B12" s="60" t="s">
        <v>287</v>
      </c>
      <c r="C12" s="60" t="s">
        <v>101</v>
      </c>
      <c r="D12" s="61">
        <v>146094231</v>
      </c>
      <c r="E12" s="61">
        <v>107531810</v>
      </c>
      <c r="F12" s="63">
        <v>346839224</v>
      </c>
    </row>
    <row r="13" spans="1:6" ht="15" customHeight="1">
      <c r="A13" s="75" t="s">
        <v>64</v>
      </c>
      <c r="B13" s="75" t="s">
        <v>64</v>
      </c>
      <c r="C13" s="75" t="s">
        <v>64</v>
      </c>
      <c r="D13" s="75" t="s">
        <v>64</v>
      </c>
      <c r="E13" s="75" t="s">
        <v>64</v>
      </c>
      <c r="F13" s="75" t="s">
        <v>64</v>
      </c>
    </row>
    <row r="14" spans="1:6" ht="25.5">
      <c r="A14" s="59">
        <v>2</v>
      </c>
      <c r="B14" s="60" t="s">
        <v>288</v>
      </c>
      <c r="C14" s="60" t="s">
        <v>102</v>
      </c>
      <c r="D14" s="61">
        <v>61639625</v>
      </c>
      <c r="E14" s="61">
        <v>61579210</v>
      </c>
      <c r="F14" s="63">
        <v>184973762</v>
      </c>
    </row>
    <row r="15" spans="1:6" ht="15" customHeight="1">
      <c r="A15" s="75" t="s">
        <v>64</v>
      </c>
      <c r="B15" s="75" t="s">
        <v>64</v>
      </c>
      <c r="C15" s="75" t="s">
        <v>64</v>
      </c>
      <c r="D15" s="75" t="s">
        <v>64</v>
      </c>
      <c r="E15" s="75" t="s">
        <v>64</v>
      </c>
      <c r="F15" s="75" t="s">
        <v>64</v>
      </c>
    </row>
    <row r="16" spans="1:6" ht="25.5">
      <c r="A16" s="59"/>
      <c r="B16" s="64" t="s">
        <v>289</v>
      </c>
      <c r="C16" s="60" t="s">
        <v>290</v>
      </c>
      <c r="D16" s="61">
        <v>45000000</v>
      </c>
      <c r="E16" s="61">
        <v>45000000</v>
      </c>
      <c r="F16" s="63">
        <v>135000000</v>
      </c>
    </row>
    <row r="17" spans="1:6" ht="25.5">
      <c r="A17" s="59"/>
      <c r="B17" s="64" t="s">
        <v>291</v>
      </c>
      <c r="C17" s="60" t="s">
        <v>292</v>
      </c>
      <c r="D17" s="61">
        <v>139625</v>
      </c>
      <c r="E17" s="61">
        <v>79210</v>
      </c>
      <c r="F17" s="63">
        <v>473762</v>
      </c>
    </row>
    <row r="18" spans="1:6" ht="25.5">
      <c r="A18" s="59"/>
      <c r="B18" s="64" t="s">
        <v>293</v>
      </c>
      <c r="C18" s="60" t="s">
        <v>294</v>
      </c>
      <c r="D18" s="61">
        <v>16500000</v>
      </c>
      <c r="E18" s="61">
        <v>16500000</v>
      </c>
      <c r="F18" s="63">
        <v>49500000</v>
      </c>
    </row>
    <row r="19" spans="1:6" ht="51">
      <c r="A19" s="59">
        <v>3</v>
      </c>
      <c r="B19" s="65" t="s">
        <v>295</v>
      </c>
      <c r="C19" s="60" t="s">
        <v>103</v>
      </c>
      <c r="D19" s="61">
        <v>82500000</v>
      </c>
      <c r="E19" s="61">
        <v>83600000</v>
      </c>
      <c r="F19" s="63">
        <v>248600000</v>
      </c>
    </row>
    <row r="20" spans="1:6" ht="15" customHeight="1">
      <c r="A20" s="75" t="s">
        <v>64</v>
      </c>
      <c r="B20" s="75" t="s">
        <v>64</v>
      </c>
      <c r="C20" s="75" t="s">
        <v>64</v>
      </c>
      <c r="D20" s="75" t="s">
        <v>64</v>
      </c>
      <c r="E20" s="75" t="s">
        <v>64</v>
      </c>
      <c r="F20" s="75" t="s">
        <v>64</v>
      </c>
    </row>
    <row r="21" spans="1:6" ht="25.5">
      <c r="A21" s="59"/>
      <c r="B21" s="60" t="s">
        <v>296</v>
      </c>
      <c r="C21" s="60" t="s">
        <v>219</v>
      </c>
      <c r="D21" s="61">
        <v>49500000</v>
      </c>
      <c r="E21" s="61">
        <v>49500000</v>
      </c>
      <c r="F21" s="63">
        <v>148500000</v>
      </c>
    </row>
    <row r="22" spans="1:6" ht="51">
      <c r="A22" s="59"/>
      <c r="B22" s="60" t="s">
        <v>297</v>
      </c>
      <c r="C22" s="60" t="s">
        <v>220</v>
      </c>
      <c r="D22" s="61">
        <v>33000000</v>
      </c>
      <c r="E22" s="61">
        <v>34100000</v>
      </c>
      <c r="F22" s="63">
        <v>100100000</v>
      </c>
    </row>
    <row r="23" spans="1:6" ht="25.5">
      <c r="A23" s="59">
        <v>4</v>
      </c>
      <c r="B23" s="60" t="s">
        <v>298</v>
      </c>
      <c r="C23" s="60"/>
      <c r="D23" s="61"/>
      <c r="E23" s="61"/>
      <c r="F23" s="63"/>
    </row>
    <row r="24" spans="1:6" ht="15" customHeight="1">
      <c r="A24" s="75" t="s">
        <v>64</v>
      </c>
      <c r="B24" s="75" t="s">
        <v>64</v>
      </c>
      <c r="C24" s="75" t="s">
        <v>64</v>
      </c>
      <c r="D24" s="75" t="s">
        <v>64</v>
      </c>
      <c r="E24" s="75" t="s">
        <v>64</v>
      </c>
      <c r="F24" s="75" t="s">
        <v>64</v>
      </c>
    </row>
    <row r="25" spans="1:6" ht="25.5">
      <c r="A25" s="59">
        <v>5</v>
      </c>
      <c r="B25" s="60" t="s">
        <v>299</v>
      </c>
      <c r="C25" s="60"/>
      <c r="D25" s="61"/>
      <c r="E25" s="61"/>
      <c r="F25" s="63"/>
    </row>
    <row r="26" spans="1:6" ht="15" customHeight="1">
      <c r="A26" s="75" t="s">
        <v>64</v>
      </c>
      <c r="B26" s="75" t="s">
        <v>64</v>
      </c>
      <c r="C26" s="75" t="s">
        <v>64</v>
      </c>
      <c r="D26" s="75" t="s">
        <v>64</v>
      </c>
      <c r="E26" s="75" t="s">
        <v>64</v>
      </c>
      <c r="F26" s="75" t="s">
        <v>64</v>
      </c>
    </row>
    <row r="27" spans="1:6" ht="25.5">
      <c r="A27" s="59">
        <v>6</v>
      </c>
      <c r="B27" s="60" t="s">
        <v>300</v>
      </c>
      <c r="C27" s="60" t="s">
        <v>106</v>
      </c>
      <c r="D27" s="61">
        <v>19408228</v>
      </c>
      <c r="E27" s="61">
        <v>19197260</v>
      </c>
      <c r="F27" s="63">
        <v>57591788</v>
      </c>
    </row>
    <row r="28" spans="1:6" ht="15" customHeight="1">
      <c r="A28" s="75" t="s">
        <v>64</v>
      </c>
      <c r="B28" s="75" t="s">
        <v>64</v>
      </c>
      <c r="C28" s="75" t="s">
        <v>64</v>
      </c>
      <c r="D28" s="75" t="s">
        <v>64</v>
      </c>
      <c r="E28" s="75" t="s">
        <v>64</v>
      </c>
      <c r="F28" s="75" t="s">
        <v>64</v>
      </c>
    </row>
    <row r="29" spans="1:6" ht="51">
      <c r="A29" s="59">
        <v>7</v>
      </c>
      <c r="B29" s="60" t="s">
        <v>301</v>
      </c>
      <c r="C29" s="60" t="s">
        <v>107</v>
      </c>
      <c r="D29" s="61">
        <v>0</v>
      </c>
      <c r="E29" s="61">
        <v>0</v>
      </c>
      <c r="F29" s="63"/>
    </row>
    <row r="30" spans="1:6" ht="15" customHeight="1">
      <c r="A30" s="75" t="s">
        <v>64</v>
      </c>
      <c r="B30" s="75" t="s">
        <v>64</v>
      </c>
      <c r="C30" s="75" t="s">
        <v>64</v>
      </c>
      <c r="D30" s="75" t="s">
        <v>64</v>
      </c>
      <c r="E30" s="75" t="s">
        <v>64</v>
      </c>
      <c r="F30" s="75" t="s">
        <v>64</v>
      </c>
    </row>
    <row r="31" spans="1:6" ht="114.75">
      <c r="A31" s="59">
        <v>8</v>
      </c>
      <c r="B31" s="65" t="s">
        <v>302</v>
      </c>
      <c r="C31" s="60" t="s">
        <v>108</v>
      </c>
      <c r="D31" s="66">
        <v>0</v>
      </c>
      <c r="E31" s="66">
        <v>0</v>
      </c>
      <c r="F31" s="63"/>
    </row>
    <row r="32" spans="1:6" ht="15" customHeight="1">
      <c r="A32" s="75" t="s">
        <v>64</v>
      </c>
      <c r="B32" s="75" t="s">
        <v>64</v>
      </c>
      <c r="C32" s="75" t="s">
        <v>64</v>
      </c>
      <c r="D32" s="75" t="s">
        <v>64</v>
      </c>
      <c r="E32" s="75" t="s">
        <v>64</v>
      </c>
      <c r="F32" s="75" t="s">
        <v>64</v>
      </c>
    </row>
    <row r="33" spans="1:6" ht="25.5">
      <c r="A33" s="59">
        <v>9</v>
      </c>
      <c r="B33" s="60" t="s">
        <v>303</v>
      </c>
      <c r="C33" s="60" t="s">
        <v>104</v>
      </c>
      <c r="D33" s="61">
        <v>16702698</v>
      </c>
      <c r="E33" s="61">
        <v>1547310</v>
      </c>
      <c r="F33" s="63">
        <v>58669633</v>
      </c>
    </row>
    <row r="34" spans="1:6" ht="15" customHeight="1">
      <c r="A34" s="75" t="s">
        <v>64</v>
      </c>
      <c r="B34" s="75" t="s">
        <v>64</v>
      </c>
      <c r="C34" s="75" t="s">
        <v>64</v>
      </c>
      <c r="D34" s="75" t="s">
        <v>64</v>
      </c>
      <c r="E34" s="75" t="s">
        <v>64</v>
      </c>
      <c r="F34" s="75" t="s">
        <v>64</v>
      </c>
    </row>
    <row r="35" spans="1:6" ht="25.5">
      <c r="A35" s="59"/>
      <c r="B35" s="60" t="s">
        <v>304</v>
      </c>
      <c r="C35" s="60" t="s">
        <v>305</v>
      </c>
      <c r="D35" s="61">
        <v>13741980</v>
      </c>
      <c r="E35" s="61">
        <v>1031540</v>
      </c>
      <c r="F35" s="63">
        <v>48195978</v>
      </c>
    </row>
    <row r="36" spans="1:6" ht="25.5">
      <c r="A36" s="59"/>
      <c r="B36" s="60" t="s">
        <v>306</v>
      </c>
      <c r="C36" s="60" t="s">
        <v>307</v>
      </c>
      <c r="D36" s="61">
        <v>2560718</v>
      </c>
      <c r="E36" s="61">
        <v>515770</v>
      </c>
      <c r="F36" s="63">
        <v>10073655</v>
      </c>
    </row>
    <row r="37" spans="1:6" ht="25.5">
      <c r="A37" s="59"/>
      <c r="B37" s="60" t="s">
        <v>308</v>
      </c>
      <c r="C37" s="60" t="s">
        <v>309</v>
      </c>
      <c r="D37" s="61">
        <v>400000</v>
      </c>
      <c r="E37" s="61" t="s">
        <v>230</v>
      </c>
      <c r="F37" s="63">
        <v>400000</v>
      </c>
    </row>
    <row r="38" spans="1:6" ht="25.5">
      <c r="A38" s="59">
        <v>10</v>
      </c>
      <c r="B38" s="60" t="s">
        <v>310</v>
      </c>
      <c r="C38" s="60" t="s">
        <v>105</v>
      </c>
      <c r="D38" s="61">
        <v>1028348</v>
      </c>
      <c r="E38" s="61">
        <v>4412654</v>
      </c>
      <c r="F38" s="63">
        <v>8202657</v>
      </c>
    </row>
    <row r="39" spans="1:6" ht="15" customHeight="1">
      <c r="A39" s="75" t="s">
        <v>64</v>
      </c>
      <c r="B39" s="75" t="s">
        <v>64</v>
      </c>
      <c r="C39" s="75" t="s">
        <v>64</v>
      </c>
      <c r="D39" s="75" t="s">
        <v>64</v>
      </c>
      <c r="E39" s="75" t="s">
        <v>64</v>
      </c>
      <c r="F39" s="75" t="s">
        <v>64</v>
      </c>
    </row>
    <row r="40" spans="1:6" ht="25.5">
      <c r="A40" s="59"/>
      <c r="B40" s="60" t="s">
        <v>221</v>
      </c>
      <c r="C40" s="60" t="s">
        <v>222</v>
      </c>
      <c r="D40" s="61">
        <v>987257</v>
      </c>
      <c r="E40" s="61">
        <v>1919500</v>
      </c>
      <c r="F40" s="63">
        <v>3202657</v>
      </c>
    </row>
    <row r="41" spans="1:6" ht="25.5">
      <c r="A41" s="59"/>
      <c r="B41" s="60" t="s">
        <v>223</v>
      </c>
      <c r="C41" s="60" t="s">
        <v>224</v>
      </c>
      <c r="D41" s="61">
        <v>41091</v>
      </c>
      <c r="E41" s="61">
        <v>2493154</v>
      </c>
      <c r="F41" s="63">
        <v>5000000</v>
      </c>
    </row>
    <row r="42" spans="1:6" ht="25.5">
      <c r="A42" s="59"/>
      <c r="B42" s="60" t="s">
        <v>225</v>
      </c>
      <c r="C42" s="60" t="s">
        <v>226</v>
      </c>
      <c r="D42" s="61" t="s">
        <v>230</v>
      </c>
      <c r="E42" s="61" t="s">
        <v>230</v>
      </c>
      <c r="F42" s="63" t="s">
        <v>230</v>
      </c>
    </row>
    <row r="43" spans="1:6" ht="25.5">
      <c r="A43" s="59" t="s">
        <v>109</v>
      </c>
      <c r="B43" s="57" t="s">
        <v>311</v>
      </c>
      <c r="C43" s="60" t="s">
        <v>110</v>
      </c>
      <c r="D43" s="58">
        <v>1704588524</v>
      </c>
      <c r="E43" s="58">
        <v>1259771210</v>
      </c>
      <c r="F43" s="58">
        <v>4085717636</v>
      </c>
    </row>
    <row r="44" spans="1:6" ht="25.5">
      <c r="A44" s="59" t="s">
        <v>111</v>
      </c>
      <c r="B44" s="57" t="s">
        <v>312</v>
      </c>
      <c r="C44" s="60" t="s">
        <v>112</v>
      </c>
      <c r="D44" s="67">
        <v>5144248</v>
      </c>
      <c r="E44" s="67">
        <v>-89297164</v>
      </c>
      <c r="F44" s="67">
        <v>784555271</v>
      </c>
    </row>
    <row r="45" spans="1:6" ht="51">
      <c r="A45" s="59">
        <v>1</v>
      </c>
      <c r="B45" s="60" t="s">
        <v>313</v>
      </c>
      <c r="C45" s="60" t="s">
        <v>113</v>
      </c>
      <c r="D45" s="68">
        <v>-232016785</v>
      </c>
      <c r="E45" s="69" t="s">
        <v>230</v>
      </c>
      <c r="F45" s="70">
        <v>1010929070</v>
      </c>
    </row>
    <row r="46" spans="1:6" ht="25.5">
      <c r="A46" s="59">
        <v>2</v>
      </c>
      <c r="B46" s="60" t="s">
        <v>314</v>
      </c>
      <c r="C46" s="60" t="s">
        <v>114</v>
      </c>
      <c r="D46" s="66">
        <v>237161033</v>
      </c>
      <c r="E46" s="66">
        <v>-89297164</v>
      </c>
      <c r="F46" s="70">
        <v>-226373799</v>
      </c>
    </row>
    <row r="47" spans="1:6" ht="51">
      <c r="A47" s="59" t="s">
        <v>115</v>
      </c>
      <c r="B47" s="57" t="s">
        <v>315</v>
      </c>
      <c r="C47" s="60" t="s">
        <v>116</v>
      </c>
      <c r="D47" s="67">
        <v>1709732772</v>
      </c>
      <c r="E47" s="67">
        <v>1170474046</v>
      </c>
      <c r="F47" s="67">
        <v>4870272907</v>
      </c>
    </row>
    <row r="48" spans="1:6" ht="25.5">
      <c r="A48" s="59" t="s">
        <v>117</v>
      </c>
      <c r="B48" s="57" t="s">
        <v>316</v>
      </c>
      <c r="C48" s="60" t="s">
        <v>118</v>
      </c>
      <c r="D48" s="58">
        <v>119315435368</v>
      </c>
      <c r="E48" s="67">
        <v>78860831410</v>
      </c>
      <c r="F48" s="58">
        <v>66260436320</v>
      </c>
    </row>
    <row r="49" spans="1:6" ht="25.5">
      <c r="A49" s="59" t="s">
        <v>119</v>
      </c>
      <c r="B49" s="57" t="s">
        <v>317</v>
      </c>
      <c r="C49" s="60" t="s">
        <v>120</v>
      </c>
      <c r="D49" s="67">
        <v>3169329786</v>
      </c>
      <c r="E49" s="67">
        <v>40454603958</v>
      </c>
      <c r="F49" s="67">
        <v>56224328833</v>
      </c>
    </row>
    <row r="50" spans="1:6" ht="51">
      <c r="A50" s="59">
        <v>1</v>
      </c>
      <c r="B50" s="60" t="s">
        <v>318</v>
      </c>
      <c r="C50" s="60" t="s">
        <v>121</v>
      </c>
      <c r="D50" s="66">
        <v>1709732772</v>
      </c>
      <c r="E50" s="61">
        <v>1170474046</v>
      </c>
      <c r="F50" s="63">
        <v>4870272907</v>
      </c>
    </row>
    <row r="51" spans="1:6" ht="51">
      <c r="A51" s="59">
        <v>2</v>
      </c>
      <c r="B51" s="60" t="s">
        <v>319</v>
      </c>
      <c r="C51" s="60" t="s">
        <v>122</v>
      </c>
      <c r="D51" s="61" t="s">
        <v>230</v>
      </c>
      <c r="E51" s="61" t="s">
        <v>230</v>
      </c>
      <c r="F51" s="71" t="s">
        <v>230</v>
      </c>
    </row>
    <row r="52" spans="1:6" ht="15.75">
      <c r="A52" s="59">
        <v>3</v>
      </c>
      <c r="B52" s="60" t="s">
        <v>123</v>
      </c>
      <c r="C52" s="60" t="s">
        <v>124</v>
      </c>
      <c r="D52" s="61">
        <v>1459597014</v>
      </c>
      <c r="E52" s="61">
        <v>39284129912</v>
      </c>
      <c r="F52" s="61">
        <v>51354055926</v>
      </c>
    </row>
    <row r="53" spans="1:6" ht="25.5">
      <c r="A53" s="59" t="s">
        <v>125</v>
      </c>
      <c r="B53" s="57" t="s">
        <v>320</v>
      </c>
      <c r="C53" s="60" t="s">
        <v>126</v>
      </c>
      <c r="D53" s="58">
        <v>122484765154</v>
      </c>
      <c r="E53" s="58">
        <v>119315435368</v>
      </c>
      <c r="F53" s="58">
        <v>122484765154</v>
      </c>
    </row>
    <row r="54" spans="1:6" ht="25.5">
      <c r="A54" s="59" t="s">
        <v>127</v>
      </c>
      <c r="B54" s="57" t="s">
        <v>321</v>
      </c>
      <c r="C54" s="60" t="s">
        <v>128</v>
      </c>
      <c r="D54" s="58"/>
      <c r="E54" s="58"/>
      <c r="F54" s="61"/>
    </row>
    <row r="55" spans="1:6" ht="25.5">
      <c r="A55" s="59"/>
      <c r="B55" s="60" t="s">
        <v>322</v>
      </c>
      <c r="C55" s="60" t="s">
        <v>129</v>
      </c>
      <c r="D55" s="72"/>
      <c r="E55" s="72"/>
      <c r="F55" s="61"/>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4"/>
  <sheetViews>
    <sheetView zoomScalePageLayoutView="0" workbookViewId="0" topLeftCell="A1">
      <selection activeCell="B23" sqref="A23:IV23"/>
    </sheetView>
  </sheetViews>
  <sheetFormatPr defaultColWidth="9.140625" defaultRowHeight="12.75"/>
  <cols>
    <col min="1" max="1" width="6.8515625" style="42" customWidth="1"/>
    <col min="2" max="2" width="31.7109375" style="49" customWidth="1"/>
    <col min="3" max="3" width="10.28125" style="42" customWidth="1"/>
    <col min="4" max="4" width="15.140625" style="42" customWidth="1"/>
    <col min="5" max="5" width="22.28125" style="42" customWidth="1"/>
    <col min="6" max="6" width="24.7109375" style="42" customWidth="1"/>
    <col min="7" max="7" width="15.7109375" style="42" customWidth="1"/>
    <col min="8" max="16384" width="9.140625" style="42" customWidth="1"/>
  </cols>
  <sheetData>
    <row r="1" spans="1:7" ht="38.25">
      <c r="A1" s="40" t="s">
        <v>6</v>
      </c>
      <c r="B1" s="41" t="s">
        <v>130</v>
      </c>
      <c r="C1" s="40" t="s">
        <v>55</v>
      </c>
      <c r="D1" s="40" t="s">
        <v>131</v>
      </c>
      <c r="E1" s="40" t="s">
        <v>132</v>
      </c>
      <c r="F1" s="40" t="s">
        <v>133</v>
      </c>
      <c r="G1" s="40" t="s">
        <v>134</v>
      </c>
    </row>
    <row r="2" spans="1:7" ht="42">
      <c r="A2" s="89" t="s">
        <v>59</v>
      </c>
      <c r="B2" s="90" t="s">
        <v>389</v>
      </c>
      <c r="C2" s="89"/>
      <c r="D2" s="89"/>
      <c r="E2" s="89"/>
      <c r="F2" s="89"/>
      <c r="G2" s="91"/>
    </row>
    <row r="3" spans="1:7" ht="15" customHeight="1">
      <c r="A3" s="102" t="s">
        <v>64</v>
      </c>
      <c r="B3" s="102" t="s">
        <v>64</v>
      </c>
      <c r="C3" s="102" t="s">
        <v>64</v>
      </c>
      <c r="D3" s="102" t="s">
        <v>64</v>
      </c>
      <c r="E3" s="102" t="s">
        <v>64</v>
      </c>
      <c r="F3" s="102" t="s">
        <v>64</v>
      </c>
      <c r="G3" s="102" t="s">
        <v>64</v>
      </c>
    </row>
    <row r="4" spans="1:7" ht="42.75" customHeight="1">
      <c r="A4" s="92" t="s">
        <v>84</v>
      </c>
      <c r="B4" s="92" t="s">
        <v>390</v>
      </c>
      <c r="C4" s="92">
        <v>2246</v>
      </c>
      <c r="D4" s="93">
        <v>93610</v>
      </c>
      <c r="E4" s="93" t="s">
        <v>230</v>
      </c>
      <c r="F4" s="93">
        <v>7551078500</v>
      </c>
      <c r="G4" s="94">
        <v>0.0612767248557497</v>
      </c>
    </row>
    <row r="5" spans="1:7" ht="15" customHeight="1">
      <c r="A5" s="102" t="s">
        <v>64</v>
      </c>
      <c r="B5" s="102" t="s">
        <v>64</v>
      </c>
      <c r="C5" s="102" t="s">
        <v>64</v>
      </c>
      <c r="D5" s="102" t="s">
        <v>64</v>
      </c>
      <c r="E5" s="102" t="s">
        <v>64</v>
      </c>
      <c r="F5" s="102" t="s">
        <v>64</v>
      </c>
      <c r="G5" s="102" t="s">
        <v>64</v>
      </c>
    </row>
    <row r="6" spans="1:7" ht="12.75">
      <c r="A6" s="95">
        <v>1</v>
      </c>
      <c r="B6" s="95" t="s">
        <v>391</v>
      </c>
      <c r="C6" s="95">
        <v>2246.1</v>
      </c>
      <c r="D6" s="96">
        <v>23600</v>
      </c>
      <c r="E6" s="96">
        <v>93000</v>
      </c>
      <c r="F6" s="96">
        <v>2194800000</v>
      </c>
      <c r="G6" s="94">
        <v>0.017810721437129733</v>
      </c>
    </row>
    <row r="7" spans="1:7" ht="12.75">
      <c r="A7" s="95">
        <v>2</v>
      </c>
      <c r="B7" s="95" t="s">
        <v>392</v>
      </c>
      <c r="C7" s="95">
        <v>2246.2</v>
      </c>
      <c r="D7" s="96">
        <v>30000</v>
      </c>
      <c r="E7" s="96">
        <v>52900</v>
      </c>
      <c r="F7" s="96">
        <v>1587000000</v>
      </c>
      <c r="G7" s="94">
        <v>0.012878446747186481</v>
      </c>
    </row>
    <row r="8" spans="1:7" ht="15" customHeight="1">
      <c r="A8" s="95">
        <v>3</v>
      </c>
      <c r="B8" s="95" t="s">
        <v>393</v>
      </c>
      <c r="C8" s="95">
        <v>2246.3</v>
      </c>
      <c r="D8" s="96">
        <v>10</v>
      </c>
      <c r="E8" s="96">
        <v>27850</v>
      </c>
      <c r="F8" s="96">
        <v>278500</v>
      </c>
      <c r="G8" s="94">
        <v>2.260017277310293E-06</v>
      </c>
    </row>
    <row r="9" spans="1:7" ht="12.75">
      <c r="A9" s="95">
        <v>4</v>
      </c>
      <c r="B9" s="95" t="s">
        <v>394</v>
      </c>
      <c r="C9" s="95">
        <v>2246.4</v>
      </c>
      <c r="D9" s="97">
        <v>15000</v>
      </c>
      <c r="E9" s="97">
        <v>142600</v>
      </c>
      <c r="F9" s="96">
        <v>2139000000</v>
      </c>
      <c r="G9" s="94">
        <v>0.0173579064853383</v>
      </c>
    </row>
    <row r="10" spans="1:7" ht="12.75">
      <c r="A10" s="95">
        <v>5</v>
      </c>
      <c r="B10" s="95" t="s">
        <v>395</v>
      </c>
      <c r="C10" s="95">
        <v>2246.5</v>
      </c>
      <c r="D10" s="97">
        <v>25000</v>
      </c>
      <c r="E10" s="97">
        <v>65200</v>
      </c>
      <c r="F10" s="96">
        <v>1630000000</v>
      </c>
      <c r="G10" s="94">
        <v>0.013227390168817871</v>
      </c>
    </row>
    <row r="11" spans="1:7" ht="21">
      <c r="A11" s="92"/>
      <c r="B11" s="92" t="s">
        <v>398</v>
      </c>
      <c r="C11" s="92">
        <v>2247</v>
      </c>
      <c r="D11" s="93">
        <v>93610</v>
      </c>
      <c r="E11" s="93"/>
      <c r="F11" s="93">
        <v>7551078500</v>
      </c>
      <c r="G11" s="94">
        <v>0.0612767248557497</v>
      </c>
    </row>
    <row r="12" spans="1:7" ht="52.5">
      <c r="A12" s="92" t="s">
        <v>109</v>
      </c>
      <c r="B12" s="92" t="s">
        <v>396</v>
      </c>
      <c r="C12" s="92">
        <v>2248</v>
      </c>
      <c r="D12" s="93"/>
      <c r="E12" s="93"/>
      <c r="F12" s="93"/>
      <c r="G12" s="94">
        <v>0</v>
      </c>
    </row>
    <row r="13" spans="1:7" ht="15" customHeight="1">
      <c r="A13" s="102" t="s">
        <v>64</v>
      </c>
      <c r="B13" s="102" t="s">
        <v>64</v>
      </c>
      <c r="C13" s="102" t="s">
        <v>64</v>
      </c>
      <c r="D13" s="102" t="s">
        <v>64</v>
      </c>
      <c r="E13" s="102" t="s">
        <v>64</v>
      </c>
      <c r="F13" s="102" t="s">
        <v>64</v>
      </c>
      <c r="G13" s="102" t="s">
        <v>64</v>
      </c>
    </row>
    <row r="14" spans="1:7" ht="21">
      <c r="A14" s="95"/>
      <c r="B14" s="95" t="s">
        <v>399</v>
      </c>
      <c r="C14" s="95">
        <v>2249</v>
      </c>
      <c r="D14" s="96"/>
      <c r="E14" s="96"/>
      <c r="F14" s="96"/>
      <c r="G14" s="94">
        <v>0</v>
      </c>
    </row>
    <row r="15" spans="1:7" ht="21">
      <c r="A15" s="92"/>
      <c r="B15" s="92" t="s">
        <v>400</v>
      </c>
      <c r="C15" s="92">
        <v>2250</v>
      </c>
      <c r="D15" s="93"/>
      <c r="E15" s="93"/>
      <c r="F15" s="93"/>
      <c r="G15" s="94">
        <v>0</v>
      </c>
    </row>
    <row r="16" spans="1:7" ht="15" customHeight="1">
      <c r="A16" s="92" t="s">
        <v>109</v>
      </c>
      <c r="B16" s="92" t="s">
        <v>401</v>
      </c>
      <c r="C16" s="92">
        <v>2251</v>
      </c>
      <c r="D16" s="93">
        <v>115599</v>
      </c>
      <c r="E16" s="93" t="s">
        <v>230</v>
      </c>
      <c r="F16" s="93">
        <v>20606432212</v>
      </c>
      <c r="G16" s="94">
        <v>0.16722044101559552</v>
      </c>
    </row>
    <row r="17" spans="1:7" ht="15" customHeight="1">
      <c r="A17" s="102" t="s">
        <v>64</v>
      </c>
      <c r="B17" s="102" t="s">
        <v>64</v>
      </c>
      <c r="C17" s="102" t="s">
        <v>64</v>
      </c>
      <c r="D17" s="102" t="s">
        <v>64</v>
      </c>
      <c r="E17" s="102" t="s">
        <v>64</v>
      </c>
      <c r="F17" s="102" t="s">
        <v>64</v>
      </c>
      <c r="G17" s="102" t="s">
        <v>64</v>
      </c>
    </row>
    <row r="18" spans="1:7" ht="12.75">
      <c r="A18" s="95" t="s">
        <v>323</v>
      </c>
      <c r="B18" s="98" t="s">
        <v>324</v>
      </c>
      <c r="C18" s="95">
        <v>2251.2</v>
      </c>
      <c r="D18" s="97">
        <v>15509</v>
      </c>
      <c r="E18" s="99">
        <v>100000</v>
      </c>
      <c r="F18" s="96">
        <v>1550900000</v>
      </c>
      <c r="G18" s="94">
        <v>0.012585496572281987</v>
      </c>
    </row>
    <row r="19" spans="1:7" ht="12.75">
      <c r="A19" s="95">
        <v>2</v>
      </c>
      <c r="B19" s="98" t="s">
        <v>325</v>
      </c>
      <c r="C19" s="95">
        <v>2251.3</v>
      </c>
      <c r="D19" s="97">
        <v>50000</v>
      </c>
      <c r="E19" s="99">
        <v>99989.6</v>
      </c>
      <c r="F19" s="96">
        <v>4999480000</v>
      </c>
      <c r="G19" s="94">
        <v>0.040570596687853726</v>
      </c>
    </row>
    <row r="20" spans="1:7" ht="12.75">
      <c r="A20" s="95">
        <v>2</v>
      </c>
      <c r="B20" s="98" t="s">
        <v>397</v>
      </c>
      <c r="C20" s="95">
        <v>2251.4</v>
      </c>
      <c r="D20" s="97">
        <v>40</v>
      </c>
      <c r="E20" s="99">
        <v>103197917.8</v>
      </c>
      <c r="F20" s="96">
        <v>4127916712</v>
      </c>
      <c r="G20" s="94">
        <v>0.033497892597550795</v>
      </c>
    </row>
    <row r="21" spans="1:7" ht="12.75">
      <c r="A21" s="95">
        <v>3</v>
      </c>
      <c r="B21" s="98" t="s">
        <v>326</v>
      </c>
      <c r="C21" s="95">
        <v>2251.5</v>
      </c>
      <c r="D21" s="97">
        <v>50000</v>
      </c>
      <c r="E21" s="99">
        <v>98562.71</v>
      </c>
      <c r="F21" s="96">
        <v>4928135500</v>
      </c>
      <c r="G21" s="94">
        <v>0.039991638689142545</v>
      </c>
    </row>
    <row r="22" spans="1:7" ht="12.75">
      <c r="A22" s="95">
        <v>4</v>
      </c>
      <c r="B22" s="98" t="s">
        <v>327</v>
      </c>
      <c r="C22" s="95">
        <v>2251.1</v>
      </c>
      <c r="D22" s="97">
        <v>50</v>
      </c>
      <c r="E22" s="99">
        <v>100000000</v>
      </c>
      <c r="F22" s="96">
        <v>5000000000</v>
      </c>
      <c r="G22" s="94">
        <v>0.04057481646876648</v>
      </c>
    </row>
    <row r="23" spans="1:7" ht="21">
      <c r="A23" s="95"/>
      <c r="B23" s="92" t="s">
        <v>398</v>
      </c>
      <c r="C23" s="95">
        <v>2252</v>
      </c>
      <c r="D23" s="93">
        <v>115599</v>
      </c>
      <c r="E23" s="93"/>
      <c r="F23" s="93">
        <v>20606432212</v>
      </c>
      <c r="G23" s="94">
        <v>0.16722044101559552</v>
      </c>
    </row>
    <row r="24" spans="1:7" ht="21">
      <c r="A24" s="92" t="s">
        <v>136</v>
      </c>
      <c r="B24" s="92" t="s">
        <v>402</v>
      </c>
      <c r="C24" s="92">
        <v>2253</v>
      </c>
      <c r="D24" s="93"/>
      <c r="E24" s="93"/>
      <c r="F24" s="93"/>
      <c r="G24" s="94">
        <v>0</v>
      </c>
    </row>
    <row r="25" spans="1:7" ht="15" customHeight="1">
      <c r="A25" s="102" t="s">
        <v>64</v>
      </c>
      <c r="B25" s="102" t="s">
        <v>64</v>
      </c>
      <c r="C25" s="102" t="s">
        <v>64</v>
      </c>
      <c r="D25" s="102" t="s">
        <v>64</v>
      </c>
      <c r="E25" s="102" t="s">
        <v>64</v>
      </c>
      <c r="F25" s="102" t="s">
        <v>64</v>
      </c>
      <c r="G25" s="102" t="s">
        <v>64</v>
      </c>
    </row>
    <row r="26" spans="1:7" ht="15" customHeight="1">
      <c r="A26" s="95" t="s">
        <v>323</v>
      </c>
      <c r="B26" s="95" t="s">
        <v>403</v>
      </c>
      <c r="C26" s="95">
        <v>2253.1</v>
      </c>
      <c r="D26" s="96"/>
      <c r="E26" s="96"/>
      <c r="F26" s="96"/>
      <c r="G26" s="94">
        <v>0</v>
      </c>
    </row>
    <row r="27" spans="1:7" ht="21">
      <c r="A27" s="92"/>
      <c r="B27" s="92" t="s">
        <v>398</v>
      </c>
      <c r="C27" s="92">
        <v>2254</v>
      </c>
      <c r="D27" s="93"/>
      <c r="E27" s="93"/>
      <c r="F27" s="93"/>
      <c r="G27" s="94">
        <v>0</v>
      </c>
    </row>
    <row r="28" spans="1:7" ht="21">
      <c r="A28" s="92"/>
      <c r="B28" s="92" t="s">
        <v>404</v>
      </c>
      <c r="C28" s="92">
        <v>2255</v>
      </c>
      <c r="D28" s="93">
        <v>209209</v>
      </c>
      <c r="E28" s="93" t="s">
        <v>230</v>
      </c>
      <c r="F28" s="93">
        <v>28157510712</v>
      </c>
      <c r="G28" s="94">
        <v>0.22849716587134522</v>
      </c>
    </row>
    <row r="29" spans="1:7" ht="21">
      <c r="A29" s="92" t="s">
        <v>137</v>
      </c>
      <c r="B29" s="92" t="s">
        <v>405</v>
      </c>
      <c r="C29" s="92">
        <v>2256</v>
      </c>
      <c r="D29" s="93" t="s">
        <v>230</v>
      </c>
      <c r="E29" s="93" t="s">
        <v>230</v>
      </c>
      <c r="F29" s="93"/>
      <c r="G29" s="94">
        <v>0</v>
      </c>
    </row>
    <row r="30" spans="1:7" ht="15" customHeight="1">
      <c r="A30" s="102" t="s">
        <v>64</v>
      </c>
      <c r="B30" s="102" t="s">
        <v>64</v>
      </c>
      <c r="C30" s="102" t="s">
        <v>64</v>
      </c>
      <c r="D30" s="102" t="s">
        <v>64</v>
      </c>
      <c r="E30" s="102" t="s">
        <v>64</v>
      </c>
      <c r="F30" s="102" t="s">
        <v>64</v>
      </c>
      <c r="G30" s="102" t="s">
        <v>64</v>
      </c>
    </row>
    <row r="31" spans="1:7" ht="21">
      <c r="A31" s="95">
        <v>1</v>
      </c>
      <c r="B31" s="95" t="s">
        <v>328</v>
      </c>
      <c r="C31" s="95">
        <v>2256.1</v>
      </c>
      <c r="D31" s="96" t="s">
        <v>230</v>
      </c>
      <c r="E31" s="96" t="s">
        <v>230</v>
      </c>
      <c r="F31" s="96">
        <v>269973215</v>
      </c>
      <c r="G31" s="94">
        <v>0.002190822730021567</v>
      </c>
    </row>
    <row r="32" spans="1:7" ht="21">
      <c r="A32" s="95">
        <v>2</v>
      </c>
      <c r="B32" s="95" t="s">
        <v>329</v>
      </c>
      <c r="C32" s="95">
        <v>2256.2</v>
      </c>
      <c r="D32" s="96" t="s">
        <v>230</v>
      </c>
      <c r="E32" s="96" t="s">
        <v>230</v>
      </c>
      <c r="F32" s="96">
        <v>2396706846</v>
      </c>
      <c r="G32" s="94">
        <v>0.019449188081177234</v>
      </c>
    </row>
    <row r="33" spans="1:7" ht="21">
      <c r="A33" s="95">
        <v>3</v>
      </c>
      <c r="B33" s="95" t="s">
        <v>330</v>
      </c>
      <c r="C33" s="95">
        <v>2256.3</v>
      </c>
      <c r="D33" s="96" t="s">
        <v>331</v>
      </c>
      <c r="E33" s="96" t="s">
        <v>331</v>
      </c>
      <c r="F33" s="96"/>
      <c r="G33" s="94">
        <v>0</v>
      </c>
    </row>
    <row r="34" spans="1:7" ht="21">
      <c r="A34" s="95">
        <v>4</v>
      </c>
      <c r="B34" s="95" t="s">
        <v>332</v>
      </c>
      <c r="C34" s="95">
        <v>2256.4</v>
      </c>
      <c r="D34" s="96" t="s">
        <v>331</v>
      </c>
      <c r="E34" s="96" t="s">
        <v>331</v>
      </c>
      <c r="F34" s="96"/>
      <c r="G34" s="94">
        <v>0</v>
      </c>
    </row>
    <row r="35" spans="1:7" ht="31.5">
      <c r="A35" s="95">
        <v>5</v>
      </c>
      <c r="B35" s="95" t="s">
        <v>333</v>
      </c>
      <c r="C35" s="95">
        <v>2256.5</v>
      </c>
      <c r="D35" s="96" t="s">
        <v>331</v>
      </c>
      <c r="E35" s="96" t="s">
        <v>331</v>
      </c>
      <c r="F35" s="96"/>
      <c r="G35" s="94">
        <v>0</v>
      </c>
    </row>
    <row r="36" spans="1:7" ht="21">
      <c r="A36" s="95">
        <v>6</v>
      </c>
      <c r="B36" s="95" t="s">
        <v>334</v>
      </c>
      <c r="C36" s="95">
        <v>2256.6</v>
      </c>
      <c r="D36" s="96" t="s">
        <v>331</v>
      </c>
      <c r="E36" s="96" t="s">
        <v>331</v>
      </c>
      <c r="F36" s="96"/>
      <c r="G36" s="94">
        <v>0</v>
      </c>
    </row>
    <row r="37" spans="1:7" ht="21">
      <c r="A37" s="95">
        <v>7</v>
      </c>
      <c r="B37" s="95" t="s">
        <v>335</v>
      </c>
      <c r="C37" s="95">
        <v>2260</v>
      </c>
      <c r="D37" s="96" t="s">
        <v>331</v>
      </c>
      <c r="E37" s="96" t="s">
        <v>331</v>
      </c>
      <c r="F37" s="100">
        <v>53904997387</v>
      </c>
      <c r="G37" s="94">
        <v>0.43743707514537233</v>
      </c>
    </row>
    <row r="38" spans="1:7" ht="21">
      <c r="A38" s="95">
        <v>8</v>
      </c>
      <c r="B38" s="95" t="s">
        <v>336</v>
      </c>
      <c r="C38" s="95">
        <v>2261</v>
      </c>
      <c r="D38" s="96" t="s">
        <v>331</v>
      </c>
      <c r="E38" s="96" t="s">
        <v>331</v>
      </c>
      <c r="F38" s="100"/>
      <c r="G38" s="94">
        <v>0</v>
      </c>
    </row>
    <row r="39" spans="1:7" ht="21">
      <c r="A39" s="95">
        <v>9</v>
      </c>
      <c r="B39" s="95" t="s">
        <v>337</v>
      </c>
      <c r="C39" s="95">
        <v>2256.7</v>
      </c>
      <c r="D39" s="96" t="s">
        <v>331</v>
      </c>
      <c r="E39" s="96" t="s">
        <v>331</v>
      </c>
      <c r="F39" s="96"/>
      <c r="G39" s="94">
        <v>0</v>
      </c>
    </row>
    <row r="40" spans="1:7" ht="21">
      <c r="A40" s="92"/>
      <c r="B40" s="92" t="s">
        <v>338</v>
      </c>
      <c r="C40" s="92">
        <v>2257</v>
      </c>
      <c r="D40" s="93" t="s">
        <v>331</v>
      </c>
      <c r="E40" s="93" t="s">
        <v>331</v>
      </c>
      <c r="F40" s="101">
        <v>56571677448</v>
      </c>
      <c r="G40" s="94">
        <v>0.45907708595657115</v>
      </c>
    </row>
    <row r="41" spans="1:7" ht="21">
      <c r="A41" s="92" t="s">
        <v>138</v>
      </c>
      <c r="B41" s="92" t="s">
        <v>339</v>
      </c>
      <c r="C41" s="92">
        <v>2258</v>
      </c>
      <c r="D41" s="93" t="s">
        <v>331</v>
      </c>
      <c r="E41" s="93" t="s">
        <v>331</v>
      </c>
      <c r="F41" s="101"/>
      <c r="G41" s="94">
        <v>0</v>
      </c>
    </row>
    <row r="42" spans="1:7" ht="21">
      <c r="A42" s="95">
        <v>1</v>
      </c>
      <c r="B42" s="95" t="s">
        <v>232</v>
      </c>
      <c r="C42" s="95">
        <v>2259</v>
      </c>
      <c r="D42" s="96" t="s">
        <v>230</v>
      </c>
      <c r="E42" s="96" t="s">
        <v>230</v>
      </c>
      <c r="F42" s="100">
        <v>38499958270</v>
      </c>
      <c r="G42" s="94">
        <v>0.31242574817208363</v>
      </c>
    </row>
    <row r="43" spans="1:7" ht="15" customHeight="1">
      <c r="A43" s="102" t="s">
        <v>64</v>
      </c>
      <c r="B43" s="102" t="s">
        <v>64</v>
      </c>
      <c r="C43" s="102" t="s">
        <v>64</v>
      </c>
      <c r="D43" s="102" t="s">
        <v>64</v>
      </c>
      <c r="E43" s="102" t="s">
        <v>64</v>
      </c>
      <c r="F43" s="102" t="s">
        <v>64</v>
      </c>
      <c r="G43" s="102" t="s">
        <v>64</v>
      </c>
    </row>
    <row r="44" spans="1:7" ht="21">
      <c r="A44" s="95">
        <v>1.1</v>
      </c>
      <c r="B44" s="95" t="s">
        <v>340</v>
      </c>
      <c r="C44" s="95">
        <v>2259.1</v>
      </c>
      <c r="D44" s="96" t="s">
        <v>230</v>
      </c>
      <c r="E44" s="96" t="s">
        <v>230</v>
      </c>
      <c r="F44" s="100">
        <v>2199958270</v>
      </c>
      <c r="G44" s="94">
        <v>0.017852580608839003</v>
      </c>
    </row>
    <row r="45" spans="1:7" ht="15" customHeight="1">
      <c r="A45" s="95">
        <v>1.2</v>
      </c>
      <c r="B45" s="95" t="s">
        <v>341</v>
      </c>
      <c r="C45" s="95">
        <v>2259.2</v>
      </c>
      <c r="D45" s="96" t="s">
        <v>230</v>
      </c>
      <c r="E45" s="96" t="s">
        <v>230</v>
      </c>
      <c r="F45" s="100">
        <v>300000000</v>
      </c>
      <c r="G45" s="94">
        <v>0.002434488988125989</v>
      </c>
    </row>
    <row r="46" spans="1:7" ht="31.5">
      <c r="A46" s="95">
        <v>1.3</v>
      </c>
      <c r="B46" s="95" t="s">
        <v>342</v>
      </c>
      <c r="C46" s="95">
        <v>2259.3</v>
      </c>
      <c r="D46" s="96" t="s">
        <v>230</v>
      </c>
      <c r="E46" s="96" t="s">
        <v>230</v>
      </c>
      <c r="F46" s="100" t="s">
        <v>230</v>
      </c>
      <c r="G46" s="94"/>
    </row>
    <row r="47" spans="1:7" ht="31.5">
      <c r="A47" s="95">
        <v>1.4</v>
      </c>
      <c r="B47" s="95" t="s">
        <v>343</v>
      </c>
      <c r="C47" s="95">
        <v>2259.4</v>
      </c>
      <c r="D47" s="96" t="s">
        <v>230</v>
      </c>
      <c r="E47" s="96" t="s">
        <v>230</v>
      </c>
      <c r="F47" s="100">
        <v>36000000000</v>
      </c>
      <c r="G47" s="94">
        <v>0.29213867857511866</v>
      </c>
    </row>
    <row r="48" spans="1:7" ht="31.5">
      <c r="A48" s="95">
        <v>2</v>
      </c>
      <c r="B48" s="95" t="s">
        <v>344</v>
      </c>
      <c r="C48" s="95">
        <v>2260</v>
      </c>
      <c r="D48" s="96"/>
      <c r="E48" s="96"/>
      <c r="F48" s="100"/>
      <c r="G48" s="94">
        <v>0</v>
      </c>
    </row>
    <row r="49" spans="1:7" ht="15" customHeight="1">
      <c r="A49" s="102" t="s">
        <v>64</v>
      </c>
      <c r="B49" s="102" t="s">
        <v>64</v>
      </c>
      <c r="C49" s="102" t="s">
        <v>64</v>
      </c>
      <c r="D49" s="102" t="s">
        <v>64</v>
      </c>
      <c r="E49" s="102" t="s">
        <v>64</v>
      </c>
      <c r="F49" s="102" t="s">
        <v>64</v>
      </c>
      <c r="G49" s="102" t="s">
        <v>64</v>
      </c>
    </row>
    <row r="50" spans="1:7" ht="12.75">
      <c r="A50" s="95"/>
      <c r="B50" s="95"/>
      <c r="C50" s="95"/>
      <c r="D50" s="96"/>
      <c r="E50" s="96"/>
      <c r="F50" s="100"/>
      <c r="G50" s="94">
        <v>0</v>
      </c>
    </row>
    <row r="51" spans="1:7" ht="21">
      <c r="A51" s="95">
        <v>3</v>
      </c>
      <c r="B51" s="95" t="s">
        <v>338</v>
      </c>
      <c r="C51" s="95">
        <v>2262</v>
      </c>
      <c r="D51" s="96" t="s">
        <v>230</v>
      </c>
      <c r="E51" s="96" t="s">
        <v>230</v>
      </c>
      <c r="F51" s="101">
        <v>38499958270</v>
      </c>
      <c r="G51" s="94">
        <v>0.31242574817208363</v>
      </c>
    </row>
    <row r="52" spans="1:7" ht="21">
      <c r="A52" s="92" t="s">
        <v>119</v>
      </c>
      <c r="B52" s="92" t="s">
        <v>345</v>
      </c>
      <c r="C52" s="92">
        <v>2263</v>
      </c>
      <c r="D52" s="93">
        <v>209209</v>
      </c>
      <c r="E52" s="93" t="s">
        <v>230</v>
      </c>
      <c r="F52" s="101">
        <v>123229146430</v>
      </c>
      <c r="G52" s="94">
        <v>1</v>
      </c>
    </row>
    <row r="53" spans="1:7" ht="25.5">
      <c r="A53" s="43">
        <v>3</v>
      </c>
      <c r="B53" s="43" t="s">
        <v>338</v>
      </c>
      <c r="C53" s="43">
        <v>2262</v>
      </c>
      <c r="D53" s="44" t="s">
        <v>230</v>
      </c>
      <c r="E53" s="44" t="s">
        <v>230</v>
      </c>
      <c r="F53" s="48">
        <v>51092006642</v>
      </c>
      <c r="G53" s="47">
        <v>0.406</v>
      </c>
    </row>
    <row r="54" spans="1:7" ht="25.5">
      <c r="A54" s="45" t="s">
        <v>119</v>
      </c>
      <c r="B54" s="45" t="s">
        <v>345</v>
      </c>
      <c r="C54" s="45">
        <v>2263</v>
      </c>
      <c r="D54" s="46">
        <v>256567</v>
      </c>
      <c r="E54" s="46" t="s">
        <v>230</v>
      </c>
      <c r="F54" s="48">
        <v>125846039577</v>
      </c>
      <c r="G54" s="47">
        <v>1</v>
      </c>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B42" sqref="B4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86" t="s">
        <v>6</v>
      </c>
      <c r="B1" s="86" t="s">
        <v>139</v>
      </c>
      <c r="C1" s="86" t="s">
        <v>140</v>
      </c>
      <c r="D1" s="86" t="s">
        <v>141</v>
      </c>
      <c r="E1" s="86" t="s">
        <v>142</v>
      </c>
      <c r="F1" s="86" t="s">
        <v>143</v>
      </c>
      <c r="G1" s="86" t="s">
        <v>144</v>
      </c>
      <c r="H1" s="86"/>
      <c r="I1" s="86" t="s">
        <v>145</v>
      </c>
      <c r="J1" s="86"/>
    </row>
    <row r="2" spans="1:10" ht="15" customHeight="1">
      <c r="A2" s="86"/>
      <c r="B2" s="86"/>
      <c r="C2" s="86"/>
      <c r="D2" s="86"/>
      <c r="E2" s="86"/>
      <c r="F2" s="86"/>
      <c r="G2" s="2" t="s">
        <v>146</v>
      </c>
      <c r="H2" s="2" t="s">
        <v>147</v>
      </c>
      <c r="I2" s="2" t="s">
        <v>146</v>
      </c>
      <c r="J2" s="2" t="s">
        <v>148</v>
      </c>
    </row>
    <row r="3" spans="1:10" ht="15" customHeight="1">
      <c r="A3" s="1" t="s">
        <v>9</v>
      </c>
      <c r="B3" s="1" t="s">
        <v>149</v>
      </c>
      <c r="C3" s="1" t="s">
        <v>1</v>
      </c>
      <c r="D3" s="1" t="s">
        <v>1</v>
      </c>
      <c r="E3" s="1" t="s">
        <v>1</v>
      </c>
      <c r="F3" s="1" t="s">
        <v>1</v>
      </c>
      <c r="G3" s="1" t="s">
        <v>1</v>
      </c>
      <c r="H3" s="1" t="s">
        <v>1</v>
      </c>
      <c r="I3" s="1" t="s">
        <v>1</v>
      </c>
      <c r="J3" s="1" t="s">
        <v>1</v>
      </c>
    </row>
    <row r="4" spans="1:10" ht="15" customHeight="1">
      <c r="A4" s="1" t="s">
        <v>64</v>
      </c>
      <c r="B4" s="1" t="s">
        <v>64</v>
      </c>
      <c r="C4" s="1" t="s">
        <v>64</v>
      </c>
      <c r="D4" s="1" t="s">
        <v>64</v>
      </c>
      <c r="E4" s="1" t="s">
        <v>64</v>
      </c>
      <c r="F4" s="1" t="s">
        <v>64</v>
      </c>
      <c r="G4" s="1" t="s">
        <v>64</v>
      </c>
      <c r="H4" s="1" t="s">
        <v>64</v>
      </c>
      <c r="I4" s="1" t="s">
        <v>64</v>
      </c>
      <c r="J4" s="1" t="s">
        <v>64</v>
      </c>
    </row>
    <row r="5" spans="1:10" ht="15" customHeight="1">
      <c r="A5" s="1"/>
      <c r="B5" s="1"/>
      <c r="C5" s="1" t="s">
        <v>1</v>
      </c>
      <c r="D5" s="1" t="s">
        <v>1</v>
      </c>
      <c r="E5" s="1" t="s">
        <v>1</v>
      </c>
      <c r="F5" s="1" t="s">
        <v>1</v>
      </c>
      <c r="G5" s="1" t="s">
        <v>1</v>
      </c>
      <c r="H5" s="1" t="s">
        <v>1</v>
      </c>
      <c r="I5" s="1" t="s">
        <v>1</v>
      </c>
      <c r="J5" s="1" t="s">
        <v>1</v>
      </c>
    </row>
    <row r="6" spans="1:10" ht="15" customHeight="1">
      <c r="A6" s="3" t="s">
        <v>59</v>
      </c>
      <c r="B6" s="3" t="s">
        <v>150</v>
      </c>
      <c r="C6" s="3" t="s">
        <v>1</v>
      </c>
      <c r="D6" s="3" t="s">
        <v>1</v>
      </c>
      <c r="E6" s="3" t="s">
        <v>1</v>
      </c>
      <c r="F6" s="3" t="s">
        <v>1</v>
      </c>
      <c r="G6" s="3" t="s">
        <v>1</v>
      </c>
      <c r="H6" s="3" t="s">
        <v>1</v>
      </c>
      <c r="I6" s="3" t="s">
        <v>1</v>
      </c>
      <c r="J6" s="3" t="s">
        <v>1</v>
      </c>
    </row>
    <row r="7" spans="1:10" ht="15" customHeight="1">
      <c r="A7" s="1" t="s">
        <v>12</v>
      </c>
      <c r="B7" s="1" t="s">
        <v>151</v>
      </c>
      <c r="C7" s="1" t="s">
        <v>1</v>
      </c>
      <c r="D7" s="1" t="s">
        <v>1</v>
      </c>
      <c r="E7" s="1" t="s">
        <v>1</v>
      </c>
      <c r="F7" s="1" t="s">
        <v>1</v>
      </c>
      <c r="G7" s="1" t="s">
        <v>1</v>
      </c>
      <c r="H7" s="1" t="s">
        <v>1</v>
      </c>
      <c r="I7" s="1" t="s">
        <v>1</v>
      </c>
      <c r="J7" s="1" t="s">
        <v>1</v>
      </c>
    </row>
    <row r="8" spans="1:10" ht="15" customHeight="1">
      <c r="A8" s="1" t="s">
        <v>64</v>
      </c>
      <c r="B8" s="1" t="s">
        <v>64</v>
      </c>
      <c r="C8" s="1" t="s">
        <v>64</v>
      </c>
      <c r="D8" s="1" t="s">
        <v>64</v>
      </c>
      <c r="E8" s="1" t="s">
        <v>64</v>
      </c>
      <c r="F8" s="1" t="s">
        <v>64</v>
      </c>
      <c r="G8" s="1" t="s">
        <v>64</v>
      </c>
      <c r="H8" s="1" t="s">
        <v>64</v>
      </c>
      <c r="I8" s="1" t="s">
        <v>64</v>
      </c>
      <c r="J8" s="1" t="s">
        <v>64</v>
      </c>
    </row>
    <row r="9" spans="1:10" ht="15" customHeight="1">
      <c r="A9" s="1"/>
      <c r="B9" s="1"/>
      <c r="C9" s="1" t="s">
        <v>1</v>
      </c>
      <c r="D9" s="1" t="s">
        <v>1</v>
      </c>
      <c r="E9" s="1" t="s">
        <v>1</v>
      </c>
      <c r="F9" s="1" t="s">
        <v>1</v>
      </c>
      <c r="G9" s="1" t="s">
        <v>1</v>
      </c>
      <c r="H9" s="1" t="s">
        <v>1</v>
      </c>
      <c r="I9" s="1" t="s">
        <v>1</v>
      </c>
      <c r="J9" s="1" t="s">
        <v>1</v>
      </c>
    </row>
    <row r="10" spans="1:10" ht="15" customHeight="1">
      <c r="A10" s="3" t="s">
        <v>84</v>
      </c>
      <c r="B10" s="3" t="s">
        <v>152</v>
      </c>
      <c r="C10" s="3" t="s">
        <v>1</v>
      </c>
      <c r="D10" s="3" t="s">
        <v>1</v>
      </c>
      <c r="E10" s="3" t="s">
        <v>1</v>
      </c>
      <c r="F10" s="3" t="s">
        <v>1</v>
      </c>
      <c r="G10" s="3" t="s">
        <v>1</v>
      </c>
      <c r="H10" s="3" t="s">
        <v>1</v>
      </c>
      <c r="I10" s="3" t="s">
        <v>1</v>
      </c>
      <c r="J10" s="3" t="s">
        <v>1</v>
      </c>
    </row>
    <row r="11" spans="1:10" ht="15" customHeight="1">
      <c r="A11" s="3" t="s">
        <v>153</v>
      </c>
      <c r="B11" s="3" t="s">
        <v>154</v>
      </c>
      <c r="C11" s="3" t="s">
        <v>1</v>
      </c>
      <c r="D11" s="3" t="s">
        <v>1</v>
      </c>
      <c r="E11" s="3" t="s">
        <v>1</v>
      </c>
      <c r="F11" s="3" t="s">
        <v>1</v>
      </c>
      <c r="G11" s="3" t="s">
        <v>1</v>
      </c>
      <c r="H11" s="3" t="s">
        <v>1</v>
      </c>
      <c r="I11" s="3" t="s">
        <v>1</v>
      </c>
      <c r="J11" s="3" t="s">
        <v>1</v>
      </c>
    </row>
    <row r="12" spans="1:10" ht="15" customHeight="1">
      <c r="A12" s="1" t="s">
        <v>15</v>
      </c>
      <c r="B12" s="1" t="s">
        <v>155</v>
      </c>
      <c r="C12" s="1" t="s">
        <v>1</v>
      </c>
      <c r="D12" s="1" t="s">
        <v>1</v>
      </c>
      <c r="E12" s="1" t="s">
        <v>1</v>
      </c>
      <c r="F12" s="1" t="s">
        <v>1</v>
      </c>
      <c r="G12" s="1" t="s">
        <v>1</v>
      </c>
      <c r="H12" s="1" t="s">
        <v>1</v>
      </c>
      <c r="I12" s="1" t="s">
        <v>1</v>
      </c>
      <c r="J12" s="1" t="s">
        <v>1</v>
      </c>
    </row>
    <row r="13" spans="1:10" ht="15" customHeight="1">
      <c r="A13" s="1" t="s">
        <v>64</v>
      </c>
      <c r="B13" s="1" t="s">
        <v>64</v>
      </c>
      <c r="C13" s="1" t="s">
        <v>64</v>
      </c>
      <c r="D13" s="1" t="s">
        <v>64</v>
      </c>
      <c r="E13" s="1" t="s">
        <v>64</v>
      </c>
      <c r="F13" s="1" t="s">
        <v>64</v>
      </c>
      <c r="G13" s="1" t="s">
        <v>64</v>
      </c>
      <c r="H13" s="1" t="s">
        <v>64</v>
      </c>
      <c r="I13" s="1" t="s">
        <v>64</v>
      </c>
      <c r="J13" s="1" t="s">
        <v>64</v>
      </c>
    </row>
    <row r="14" spans="1:10" ht="15" customHeight="1">
      <c r="A14" s="1"/>
      <c r="B14" s="1"/>
      <c r="C14" s="1" t="s">
        <v>1</v>
      </c>
      <c r="D14" s="1" t="s">
        <v>1</v>
      </c>
      <c r="E14" s="1" t="s">
        <v>1</v>
      </c>
      <c r="F14" s="1" t="s">
        <v>1</v>
      </c>
      <c r="G14" s="1" t="s">
        <v>1</v>
      </c>
      <c r="H14" s="1" t="s">
        <v>1</v>
      </c>
      <c r="I14" s="1" t="s">
        <v>1</v>
      </c>
      <c r="J14" s="1" t="s">
        <v>1</v>
      </c>
    </row>
    <row r="15" spans="1:10" ht="15" customHeight="1">
      <c r="A15" s="3" t="s">
        <v>109</v>
      </c>
      <c r="B15" s="3" t="s">
        <v>156</v>
      </c>
      <c r="C15" s="3" t="s">
        <v>1</v>
      </c>
      <c r="D15" s="3" t="s">
        <v>1</v>
      </c>
      <c r="E15" s="3" t="s">
        <v>1</v>
      </c>
      <c r="F15" s="3" t="s">
        <v>1</v>
      </c>
      <c r="G15" s="3" t="s">
        <v>1</v>
      </c>
      <c r="H15" s="3" t="s">
        <v>1</v>
      </c>
      <c r="I15" s="3" t="s">
        <v>1</v>
      </c>
      <c r="J15" s="3" t="s">
        <v>1</v>
      </c>
    </row>
    <row r="16" spans="1:10" ht="15" customHeight="1">
      <c r="A16" s="1" t="s">
        <v>18</v>
      </c>
      <c r="B16" s="1" t="s">
        <v>157</v>
      </c>
      <c r="C16" s="1" t="s">
        <v>1</v>
      </c>
      <c r="D16" s="1" t="s">
        <v>1</v>
      </c>
      <c r="E16" s="1" t="s">
        <v>1</v>
      </c>
      <c r="F16" s="1" t="s">
        <v>1</v>
      </c>
      <c r="G16" s="1" t="s">
        <v>1</v>
      </c>
      <c r="H16" s="1" t="s">
        <v>1</v>
      </c>
      <c r="I16" s="1" t="s">
        <v>1</v>
      </c>
      <c r="J16" s="1" t="s">
        <v>1</v>
      </c>
    </row>
    <row r="17" spans="1:10" ht="15" customHeight="1">
      <c r="A17" s="1" t="s">
        <v>64</v>
      </c>
      <c r="B17" s="1" t="s">
        <v>64</v>
      </c>
      <c r="C17" s="1" t="s">
        <v>64</v>
      </c>
      <c r="D17" s="1" t="s">
        <v>64</v>
      </c>
      <c r="E17" s="1" t="s">
        <v>64</v>
      </c>
      <c r="F17" s="1" t="s">
        <v>64</v>
      </c>
      <c r="G17" s="1" t="s">
        <v>64</v>
      </c>
      <c r="H17" s="1" t="s">
        <v>64</v>
      </c>
      <c r="I17" s="1" t="s">
        <v>64</v>
      </c>
      <c r="J17" s="1" t="s">
        <v>64</v>
      </c>
    </row>
    <row r="18" spans="1:10" ht="15" customHeight="1">
      <c r="A18" s="1"/>
      <c r="B18" s="1"/>
      <c r="C18" s="1" t="s">
        <v>1</v>
      </c>
      <c r="D18" s="1" t="s">
        <v>1</v>
      </c>
      <c r="E18" s="1" t="s">
        <v>1</v>
      </c>
      <c r="F18" s="1" t="s">
        <v>1</v>
      </c>
      <c r="G18" s="1" t="s">
        <v>1</v>
      </c>
      <c r="H18" s="1" t="s">
        <v>1</v>
      </c>
      <c r="I18" s="1" t="s">
        <v>1</v>
      </c>
      <c r="J18" s="1" t="s">
        <v>1</v>
      </c>
    </row>
    <row r="19" spans="1:10" ht="15" customHeight="1">
      <c r="A19" s="3" t="s">
        <v>111</v>
      </c>
      <c r="B19" s="3" t="s">
        <v>158</v>
      </c>
      <c r="C19" s="3" t="s">
        <v>1</v>
      </c>
      <c r="D19" s="3" t="s">
        <v>1</v>
      </c>
      <c r="E19" s="3" t="s">
        <v>1</v>
      </c>
      <c r="F19" s="3" t="s">
        <v>1</v>
      </c>
      <c r="G19" s="3" t="s">
        <v>1</v>
      </c>
      <c r="H19" s="3" t="s">
        <v>1</v>
      </c>
      <c r="I19" s="3" t="s">
        <v>1</v>
      </c>
      <c r="J19" s="3" t="s">
        <v>1</v>
      </c>
    </row>
    <row r="20" spans="1:10" ht="15" customHeight="1">
      <c r="A20" s="3" t="s">
        <v>159</v>
      </c>
      <c r="B20" s="3" t="s">
        <v>160</v>
      </c>
      <c r="C20" s="3" t="s">
        <v>1</v>
      </c>
      <c r="D20" s="3" t="s">
        <v>1</v>
      </c>
      <c r="E20" s="3" t="s">
        <v>1</v>
      </c>
      <c r="F20" s="3" t="s">
        <v>1</v>
      </c>
      <c r="G20" s="3" t="s">
        <v>1</v>
      </c>
      <c r="H20" s="3" t="s">
        <v>1</v>
      </c>
      <c r="I20" s="3" t="s">
        <v>1</v>
      </c>
      <c r="J20" s="3"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80" zoomScaleNormal="80" zoomScalePageLayoutView="0" workbookViewId="0" topLeftCell="A1">
      <selection activeCell="D3" sqref="D3:E29"/>
    </sheetView>
  </sheetViews>
  <sheetFormatPr defaultColWidth="9.140625" defaultRowHeight="39" customHeight="1"/>
  <cols>
    <col min="1" max="1" width="6.8515625" style="22" customWidth="1"/>
    <col min="2" max="2" width="82.00390625" style="22" customWidth="1"/>
    <col min="3" max="3" width="10.28125" style="22" customWidth="1"/>
    <col min="4" max="5" width="19.57421875" style="22" customWidth="1"/>
    <col min="6" max="16384" width="9.140625" style="22" customWidth="1"/>
  </cols>
  <sheetData>
    <row r="1" spans="1:5" ht="39" customHeight="1">
      <c r="A1" s="21" t="s">
        <v>6</v>
      </c>
      <c r="B1" s="21" t="s">
        <v>97</v>
      </c>
      <c r="C1" s="21" t="s">
        <v>55</v>
      </c>
      <c r="D1" s="21" t="s">
        <v>161</v>
      </c>
      <c r="E1" s="21" t="s">
        <v>162</v>
      </c>
    </row>
    <row r="2" spans="1:5" ht="39" customHeight="1">
      <c r="A2" s="50" t="s">
        <v>59</v>
      </c>
      <c r="B2" s="51" t="s">
        <v>356</v>
      </c>
      <c r="C2" s="51" t="s">
        <v>135</v>
      </c>
      <c r="D2" s="10"/>
      <c r="E2" s="10"/>
    </row>
    <row r="3" spans="1:6" ht="39" customHeight="1">
      <c r="A3" s="50">
        <v>1</v>
      </c>
      <c r="B3" s="52" t="s">
        <v>346</v>
      </c>
      <c r="C3" s="51" t="s">
        <v>163</v>
      </c>
      <c r="D3" s="11">
        <v>0.005034970905999979</v>
      </c>
      <c r="E3" s="12">
        <v>0.004842004407770389</v>
      </c>
      <c r="F3" s="24"/>
    </row>
    <row r="4" spans="1:6" ht="39" customHeight="1">
      <c r="A4" s="50">
        <v>2</v>
      </c>
      <c r="B4" s="52" t="s">
        <v>347</v>
      </c>
      <c r="C4" s="51" t="s">
        <v>164</v>
      </c>
      <c r="D4" s="11">
        <v>0.0021243393144781257</v>
      </c>
      <c r="E4" s="12">
        <v>0.0027728242112451972</v>
      </c>
      <c r="F4" s="24"/>
    </row>
    <row r="5" spans="1:6" ht="39" customHeight="1">
      <c r="A5" s="50">
        <v>3</v>
      </c>
      <c r="B5" s="53" t="s">
        <v>348</v>
      </c>
      <c r="C5" s="51" t="s">
        <v>165</v>
      </c>
      <c r="D5" s="11">
        <v>0.0034189077474708926</v>
      </c>
      <c r="E5" s="12">
        <v>0.003834062221493265</v>
      </c>
      <c r="F5" s="24"/>
    </row>
    <row r="6" spans="1:6" ht="39" customHeight="1">
      <c r="A6" s="50">
        <v>4</v>
      </c>
      <c r="B6" s="51" t="s">
        <v>357</v>
      </c>
      <c r="C6" s="51" t="s">
        <v>166</v>
      </c>
      <c r="D6" s="11">
        <v>0.0006688824236804679</v>
      </c>
      <c r="E6" s="12">
        <v>0.0008644253038902086</v>
      </c>
      <c r="F6" s="24"/>
    </row>
    <row r="7" spans="1:6" ht="39" customHeight="1">
      <c r="A7" s="50">
        <v>5</v>
      </c>
      <c r="B7" s="51" t="s">
        <v>349</v>
      </c>
      <c r="C7" s="51"/>
      <c r="D7" s="11"/>
      <c r="E7" s="12"/>
      <c r="F7" s="24"/>
    </row>
    <row r="8" spans="1:6" ht="39" customHeight="1">
      <c r="A8" s="50">
        <v>6</v>
      </c>
      <c r="B8" s="51" t="s">
        <v>350</v>
      </c>
      <c r="C8" s="51"/>
      <c r="D8" s="11"/>
      <c r="E8" s="12"/>
      <c r="F8" s="24"/>
    </row>
    <row r="9" spans="1:6" ht="39" customHeight="1">
      <c r="A9" s="50">
        <v>7</v>
      </c>
      <c r="B9" s="54" t="s">
        <v>358</v>
      </c>
      <c r="C9" s="51" t="s">
        <v>167</v>
      </c>
      <c r="D9" s="11">
        <v>3.5440839968850415E-05</v>
      </c>
      <c r="E9" s="12">
        <v>0.00019869553128479506</v>
      </c>
      <c r="F9" s="24"/>
    </row>
    <row r="10" spans="1:6" ht="39" customHeight="1">
      <c r="A10" s="50">
        <v>8</v>
      </c>
      <c r="B10" s="51" t="s">
        <v>351</v>
      </c>
      <c r="C10" s="51" t="s">
        <v>168</v>
      </c>
      <c r="D10" s="11">
        <v>0.011282541231598315</v>
      </c>
      <c r="E10" s="12">
        <v>0.012512011675683854</v>
      </c>
      <c r="F10" s="24"/>
    </row>
    <row r="11" spans="1:6" ht="39" customHeight="1">
      <c r="A11" s="50">
        <v>9</v>
      </c>
      <c r="B11" s="54" t="s">
        <v>359</v>
      </c>
      <c r="C11" s="51" t="s">
        <v>169</v>
      </c>
      <c r="D11" s="12">
        <v>0.10602418351537789</v>
      </c>
      <c r="E11" s="12">
        <v>0.09397428938825098</v>
      </c>
      <c r="F11" s="24"/>
    </row>
    <row r="12" spans="1:6" ht="39" customHeight="1">
      <c r="A12" s="50">
        <v>10</v>
      </c>
      <c r="B12" s="54" t="s">
        <v>352</v>
      </c>
      <c r="C12" s="51"/>
      <c r="D12" s="12"/>
      <c r="E12" s="12"/>
      <c r="F12" s="24"/>
    </row>
    <row r="13" spans="1:6" ht="39" customHeight="1">
      <c r="A13" s="50" t="s">
        <v>84</v>
      </c>
      <c r="B13" s="51" t="s">
        <v>360</v>
      </c>
      <c r="C13" s="51" t="s">
        <v>170</v>
      </c>
      <c r="D13" s="11"/>
      <c r="E13" s="13"/>
      <c r="F13" s="24"/>
    </row>
    <row r="14" spans="1:6" ht="39" customHeight="1">
      <c r="A14" s="87">
        <v>1</v>
      </c>
      <c r="B14" s="51" t="s">
        <v>361</v>
      </c>
      <c r="C14" s="51" t="s">
        <v>171</v>
      </c>
      <c r="D14" s="13">
        <v>107331828300</v>
      </c>
      <c r="E14" s="14">
        <v>71902495900</v>
      </c>
      <c r="F14" s="24"/>
    </row>
    <row r="15" spans="1:6" ht="39" customHeight="1">
      <c r="A15" s="87"/>
      <c r="B15" s="51" t="s">
        <v>362</v>
      </c>
      <c r="C15" s="51" t="s">
        <v>172</v>
      </c>
      <c r="D15" s="15">
        <v>107331828300</v>
      </c>
      <c r="E15" s="13">
        <v>71902495900</v>
      </c>
      <c r="F15" s="24"/>
    </row>
    <row r="16" spans="1:6" ht="39" customHeight="1">
      <c r="A16" s="87"/>
      <c r="B16" s="51" t="s">
        <v>363</v>
      </c>
      <c r="C16" s="51" t="s">
        <v>173</v>
      </c>
      <c r="D16" s="16">
        <v>10733182.83</v>
      </c>
      <c r="E16" s="17">
        <v>7190249.59</v>
      </c>
      <c r="F16" s="24"/>
    </row>
    <row r="17" spans="1:6" ht="39" customHeight="1">
      <c r="A17" s="87">
        <v>2</v>
      </c>
      <c r="B17" s="51" t="s">
        <v>364</v>
      </c>
      <c r="C17" s="51" t="s">
        <v>174</v>
      </c>
      <c r="D17" s="13">
        <v>1225891100</v>
      </c>
      <c r="E17" s="13">
        <v>35429332400.00001</v>
      </c>
      <c r="F17" s="24"/>
    </row>
    <row r="18" spans="1:6" ht="39" customHeight="1">
      <c r="A18" s="87"/>
      <c r="B18" s="51" t="s">
        <v>365</v>
      </c>
      <c r="C18" s="51" t="s">
        <v>175</v>
      </c>
      <c r="D18" s="18">
        <v>2248302.05</v>
      </c>
      <c r="E18" s="18">
        <v>4098374.710000001</v>
      </c>
      <c r="F18" s="24"/>
    </row>
    <row r="19" spans="1:6" ht="39" customHeight="1">
      <c r="A19" s="87"/>
      <c r="B19" s="51" t="s">
        <v>366</v>
      </c>
      <c r="C19" s="51" t="s">
        <v>176</v>
      </c>
      <c r="D19" s="13">
        <v>22483020500</v>
      </c>
      <c r="E19" s="13">
        <v>40983747100.00001</v>
      </c>
      <c r="F19" s="24"/>
    </row>
    <row r="20" spans="1:6" ht="39" customHeight="1">
      <c r="A20" s="87"/>
      <c r="B20" s="51" t="s">
        <v>367</v>
      </c>
      <c r="C20" s="51" t="s">
        <v>177</v>
      </c>
      <c r="D20" s="18">
        <v>-2125712.94</v>
      </c>
      <c r="E20" s="13">
        <v>-555441.4700000001</v>
      </c>
      <c r="F20" s="24"/>
    </row>
    <row r="21" spans="1:6" ht="39" customHeight="1">
      <c r="A21" s="87"/>
      <c r="B21" s="52" t="s">
        <v>368</v>
      </c>
      <c r="C21" s="51" t="s">
        <v>178</v>
      </c>
      <c r="D21" s="13">
        <v>-21257129400</v>
      </c>
      <c r="E21" s="13">
        <v>-5554414700.000001</v>
      </c>
      <c r="F21" s="24"/>
    </row>
    <row r="22" spans="1:6" ht="39" customHeight="1">
      <c r="A22" s="87">
        <v>3</v>
      </c>
      <c r="B22" s="52" t="s">
        <v>369</v>
      </c>
      <c r="C22" s="51" t="s">
        <v>179</v>
      </c>
      <c r="D22" s="13">
        <v>108557719400</v>
      </c>
      <c r="E22" s="13">
        <v>107331828300</v>
      </c>
      <c r="F22" s="24"/>
    </row>
    <row r="23" spans="1:6" ht="39" customHeight="1">
      <c r="A23" s="87"/>
      <c r="B23" s="52" t="s">
        <v>353</v>
      </c>
      <c r="C23" s="51" t="s">
        <v>180</v>
      </c>
      <c r="D23" s="15">
        <v>108557719400</v>
      </c>
      <c r="E23" s="13">
        <v>107331828300</v>
      </c>
      <c r="F23" s="24"/>
    </row>
    <row r="24" spans="1:6" ht="39" customHeight="1">
      <c r="A24" s="87"/>
      <c r="B24" s="52" t="s">
        <v>354</v>
      </c>
      <c r="C24" s="51" t="s">
        <v>181</v>
      </c>
      <c r="D24" s="16">
        <v>10855771.94</v>
      </c>
      <c r="E24" s="17">
        <v>10733182.83</v>
      </c>
      <c r="F24" s="24"/>
    </row>
    <row r="25" spans="1:6" ht="39" customHeight="1">
      <c r="A25" s="50">
        <v>4</v>
      </c>
      <c r="B25" s="52" t="s">
        <v>370</v>
      </c>
      <c r="C25" s="51" t="s">
        <v>182</v>
      </c>
      <c r="D25" s="25">
        <v>0.4214</v>
      </c>
      <c r="E25" s="25">
        <v>0.4258</v>
      </c>
      <c r="F25" s="24"/>
    </row>
    <row r="26" spans="1:6" ht="39" customHeight="1">
      <c r="A26" s="50">
        <v>5</v>
      </c>
      <c r="B26" s="52" t="s">
        <v>371</v>
      </c>
      <c r="C26" s="51" t="s">
        <v>183</v>
      </c>
      <c r="D26" s="25">
        <v>0.9578</v>
      </c>
      <c r="E26" s="12">
        <v>0.9545</v>
      </c>
      <c r="F26" s="24"/>
    </row>
    <row r="27" spans="1:6" ht="39" customHeight="1">
      <c r="A27" s="50">
        <v>6</v>
      </c>
      <c r="B27" s="52" t="s">
        <v>372</v>
      </c>
      <c r="C27" s="51" t="s">
        <v>184</v>
      </c>
      <c r="D27" s="25">
        <v>0</v>
      </c>
      <c r="E27" s="12">
        <v>0</v>
      </c>
      <c r="F27" s="24"/>
    </row>
    <row r="28" spans="1:6" ht="39" customHeight="1">
      <c r="A28" s="50">
        <v>7</v>
      </c>
      <c r="B28" s="51" t="s">
        <v>373</v>
      </c>
      <c r="C28" s="51" t="s">
        <v>185</v>
      </c>
      <c r="D28" s="55">
        <v>116</v>
      </c>
      <c r="E28" s="19">
        <v>118</v>
      </c>
      <c r="F28" s="24"/>
    </row>
    <row r="29" spans="1:6" ht="39" customHeight="1">
      <c r="A29" s="50">
        <v>8</v>
      </c>
      <c r="B29" s="52" t="s">
        <v>355</v>
      </c>
      <c r="C29" s="51"/>
      <c r="D29" s="20">
        <v>11282.91</v>
      </c>
      <c r="E29" s="20">
        <v>11116.5</v>
      </c>
      <c r="F29" s="24"/>
    </row>
    <row r="30" spans="1:5" ht="39" customHeight="1">
      <c r="A30" s="23" t="s">
        <v>33</v>
      </c>
      <c r="B30" s="23" t="s">
        <v>186</v>
      </c>
      <c r="C30" s="23" t="s">
        <v>187</v>
      </c>
      <c r="D30" s="5"/>
      <c r="E30" s="5"/>
    </row>
    <row r="31" spans="1:5" ht="39" customHeight="1">
      <c r="A31" s="23" t="s">
        <v>188</v>
      </c>
      <c r="B31" s="23" t="s">
        <v>188</v>
      </c>
      <c r="C31" s="23" t="s">
        <v>188</v>
      </c>
      <c r="D31" s="23" t="s">
        <v>188</v>
      </c>
      <c r="E31" s="23" t="s">
        <v>188</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1" sqref="A1:A2"/>
    </sheetView>
  </sheetViews>
  <sheetFormatPr defaultColWidth="9.140625" defaultRowHeight="12.75"/>
  <cols>
    <col min="1" max="1" width="6.8515625" style="0" customWidth="1"/>
    <col min="2" max="2" width="37.140625" style="0" customWidth="1"/>
    <col min="3" max="3" width="26.28125" style="0" customWidth="1"/>
    <col min="4" max="4" width="23.8515625" style="0" customWidth="1"/>
    <col min="5" max="5" width="18.00390625" style="0" customWidth="1"/>
    <col min="6" max="6" width="17.57421875" style="0" customWidth="1"/>
  </cols>
  <sheetData>
    <row r="1" spans="1:6" ht="15" customHeight="1">
      <c r="A1" s="88" t="s">
        <v>6</v>
      </c>
      <c r="B1" s="88" t="s">
        <v>374</v>
      </c>
      <c r="C1" s="88" t="s">
        <v>375</v>
      </c>
      <c r="D1" s="88" t="s">
        <v>191</v>
      </c>
      <c r="E1" s="88"/>
      <c r="F1" s="88"/>
    </row>
    <row r="2" spans="1:6" ht="15" customHeight="1">
      <c r="A2" s="88"/>
      <c r="B2" s="88"/>
      <c r="C2" s="88"/>
      <c r="D2" s="73" t="s">
        <v>376</v>
      </c>
      <c r="E2" s="73" t="s">
        <v>193</v>
      </c>
      <c r="F2" s="73" t="s">
        <v>377</v>
      </c>
    </row>
    <row r="3" spans="1:6" ht="15" customHeight="1">
      <c r="A3" s="74" t="s">
        <v>59</v>
      </c>
      <c r="B3" s="74" t="s">
        <v>378</v>
      </c>
      <c r="C3" s="74" t="s">
        <v>1</v>
      </c>
      <c r="D3" s="74" t="s">
        <v>1</v>
      </c>
      <c r="E3" s="74" t="s">
        <v>1</v>
      </c>
      <c r="F3" s="74" t="s">
        <v>1</v>
      </c>
    </row>
    <row r="4" spans="1:6" ht="15" customHeight="1">
      <c r="A4" s="75" t="s">
        <v>64</v>
      </c>
      <c r="B4" s="75" t="s">
        <v>64</v>
      </c>
      <c r="C4" s="75" t="s">
        <v>64</v>
      </c>
      <c r="D4" s="75" t="s">
        <v>64</v>
      </c>
      <c r="E4" s="75" t="s">
        <v>64</v>
      </c>
      <c r="F4" s="75" t="s">
        <v>64</v>
      </c>
    </row>
    <row r="5" spans="1:6" ht="15" customHeight="1">
      <c r="A5" s="75"/>
      <c r="B5" s="75"/>
      <c r="C5" s="75" t="s">
        <v>1</v>
      </c>
      <c r="D5" s="75" t="s">
        <v>1</v>
      </c>
      <c r="E5" s="75" t="s">
        <v>1</v>
      </c>
      <c r="F5" s="75" t="s">
        <v>1</v>
      </c>
    </row>
    <row r="6" spans="1:6" ht="15" customHeight="1">
      <c r="A6" s="74" t="s">
        <v>84</v>
      </c>
      <c r="B6" s="74" t="s">
        <v>379</v>
      </c>
      <c r="C6" s="74" t="s">
        <v>1</v>
      </c>
      <c r="D6" s="74" t="s">
        <v>1</v>
      </c>
      <c r="E6" s="74" t="s">
        <v>1</v>
      </c>
      <c r="F6" s="74" t="s">
        <v>1</v>
      </c>
    </row>
    <row r="7" spans="1:6" ht="15" customHeight="1">
      <c r="A7" s="75" t="s">
        <v>64</v>
      </c>
      <c r="B7" s="75" t="s">
        <v>64</v>
      </c>
      <c r="C7" s="75" t="s">
        <v>64</v>
      </c>
      <c r="D7" s="75" t="s">
        <v>64</v>
      </c>
      <c r="E7" s="75" t="s">
        <v>64</v>
      </c>
      <c r="F7" s="75" t="s">
        <v>64</v>
      </c>
    </row>
    <row r="8" spans="1:6" ht="15" customHeight="1">
      <c r="A8" s="75"/>
      <c r="B8" s="75"/>
      <c r="C8" s="75" t="s">
        <v>1</v>
      </c>
      <c r="D8" s="75" t="s">
        <v>1</v>
      </c>
      <c r="E8" s="75" t="s">
        <v>1</v>
      </c>
      <c r="F8" s="75" t="s">
        <v>1</v>
      </c>
    </row>
    <row r="9" spans="1:6" ht="15" customHeight="1">
      <c r="A9" s="74" t="s">
        <v>109</v>
      </c>
      <c r="B9" s="74" t="s">
        <v>380</v>
      </c>
      <c r="C9" s="74" t="s">
        <v>1</v>
      </c>
      <c r="D9" s="74" t="s">
        <v>1</v>
      </c>
      <c r="E9" s="74" t="s">
        <v>1</v>
      </c>
      <c r="F9" s="74" t="s">
        <v>1</v>
      </c>
    </row>
    <row r="10" spans="1:6" ht="15" customHeight="1">
      <c r="A10" s="75" t="s">
        <v>64</v>
      </c>
      <c r="B10" s="75" t="s">
        <v>64</v>
      </c>
      <c r="C10" s="75" t="s">
        <v>64</v>
      </c>
      <c r="D10" s="75" t="s">
        <v>64</v>
      </c>
      <c r="E10" s="75" t="s">
        <v>64</v>
      </c>
      <c r="F10" s="75" t="s">
        <v>64</v>
      </c>
    </row>
    <row r="11" spans="1:6" ht="15" customHeight="1">
      <c r="A11" s="75" t="s">
        <v>1</v>
      </c>
      <c r="B11" s="75" t="s">
        <v>1</v>
      </c>
      <c r="C11" s="75" t="s">
        <v>1</v>
      </c>
      <c r="D11" s="75" t="s">
        <v>1</v>
      </c>
      <c r="E11" s="75" t="s">
        <v>1</v>
      </c>
      <c r="F11" s="75" t="s">
        <v>1</v>
      </c>
    </row>
    <row r="12" spans="1:6" ht="15" customHeight="1">
      <c r="A12" s="74" t="s">
        <v>111</v>
      </c>
      <c r="B12" s="74" t="s">
        <v>381</v>
      </c>
      <c r="C12" s="74" t="s">
        <v>1</v>
      </c>
      <c r="D12" s="74" t="s">
        <v>1</v>
      </c>
      <c r="E12" s="74" t="s">
        <v>1</v>
      </c>
      <c r="F12" s="74" t="s">
        <v>1</v>
      </c>
    </row>
    <row r="13" spans="1:6" ht="15" customHeight="1">
      <c r="A13" s="75" t="s">
        <v>64</v>
      </c>
      <c r="B13" s="75" t="s">
        <v>64</v>
      </c>
      <c r="C13" s="75" t="s">
        <v>64</v>
      </c>
      <c r="D13" s="75" t="s">
        <v>64</v>
      </c>
      <c r="E13" s="75" t="s">
        <v>64</v>
      </c>
      <c r="F13" s="75" t="s">
        <v>64</v>
      </c>
    </row>
    <row r="14" spans="1:6" ht="15" customHeight="1">
      <c r="A14" s="75" t="s">
        <v>1</v>
      </c>
      <c r="B14" s="75" t="s">
        <v>1</v>
      </c>
      <c r="C14" s="75" t="s">
        <v>1</v>
      </c>
      <c r="D14" s="75" t="s">
        <v>1</v>
      </c>
      <c r="E14" s="75" t="s">
        <v>1</v>
      </c>
      <c r="F14" s="75" t="s">
        <v>1</v>
      </c>
    </row>
    <row r="15" spans="1:6" ht="15" customHeight="1">
      <c r="A15" s="74" t="s">
        <v>115</v>
      </c>
      <c r="B15" s="74" t="s">
        <v>382</v>
      </c>
      <c r="C15" s="74" t="s">
        <v>1</v>
      </c>
      <c r="D15" s="74" t="s">
        <v>1</v>
      </c>
      <c r="E15" s="74" t="s">
        <v>1</v>
      </c>
      <c r="F15" s="74" t="s">
        <v>1</v>
      </c>
    </row>
    <row r="16" spans="1:6" ht="15" customHeight="1">
      <c r="A16" s="75" t="s">
        <v>64</v>
      </c>
      <c r="B16" s="75" t="s">
        <v>64</v>
      </c>
      <c r="C16" s="75" t="s">
        <v>64</v>
      </c>
      <c r="D16" s="75" t="s">
        <v>64</v>
      </c>
      <c r="E16" s="75" t="s">
        <v>64</v>
      </c>
      <c r="F16" s="75" t="s">
        <v>64</v>
      </c>
    </row>
    <row r="17" spans="1:6" ht="15" customHeight="1">
      <c r="A17" s="75"/>
      <c r="B17" s="75"/>
      <c r="C17" s="75" t="s">
        <v>1</v>
      </c>
      <c r="D17" s="75" t="s">
        <v>1</v>
      </c>
      <c r="E17" s="75" t="s">
        <v>1</v>
      </c>
      <c r="F17" s="75" t="s">
        <v>1</v>
      </c>
    </row>
    <row r="18" spans="1:6" ht="15" customHeight="1">
      <c r="A18" s="74" t="s">
        <v>117</v>
      </c>
      <c r="B18" s="74" t="s">
        <v>383</v>
      </c>
      <c r="C18" s="74" t="s">
        <v>1</v>
      </c>
      <c r="D18" s="74" t="s">
        <v>1</v>
      </c>
      <c r="E18" s="74" t="s">
        <v>1</v>
      </c>
      <c r="F18" s="74" t="s">
        <v>1</v>
      </c>
    </row>
    <row r="19" spans="1:6" ht="15" customHeight="1">
      <c r="A19" s="75" t="s">
        <v>64</v>
      </c>
      <c r="B19" s="75" t="s">
        <v>64</v>
      </c>
      <c r="C19" s="75" t="s">
        <v>64</v>
      </c>
      <c r="D19" s="75" t="s">
        <v>64</v>
      </c>
      <c r="E19" s="75" t="s">
        <v>64</v>
      </c>
      <c r="F19" s="75" t="s">
        <v>64</v>
      </c>
    </row>
    <row r="20" spans="1:6" ht="15" customHeight="1">
      <c r="A20" s="75" t="s">
        <v>1</v>
      </c>
      <c r="B20" s="75" t="s">
        <v>1</v>
      </c>
      <c r="C20" s="75" t="s">
        <v>1</v>
      </c>
      <c r="D20" s="75" t="s">
        <v>1</v>
      </c>
      <c r="E20" s="75" t="s">
        <v>1</v>
      </c>
      <c r="F20" s="75" t="s">
        <v>1</v>
      </c>
    </row>
    <row r="21" spans="1:6" ht="15" customHeight="1">
      <c r="A21" s="74" t="s">
        <v>119</v>
      </c>
      <c r="B21" s="74" t="s">
        <v>384</v>
      </c>
      <c r="C21" s="74" t="s">
        <v>1</v>
      </c>
      <c r="D21" s="74" t="s">
        <v>1</v>
      </c>
      <c r="E21" s="74" t="s">
        <v>1</v>
      </c>
      <c r="F21" s="74" t="s">
        <v>1</v>
      </c>
    </row>
    <row r="22" spans="1:6" ht="15" customHeight="1">
      <c r="A22" s="75" t="s">
        <v>64</v>
      </c>
      <c r="B22" s="75" t="s">
        <v>64</v>
      </c>
      <c r="C22" s="75" t="s">
        <v>64</v>
      </c>
      <c r="D22" s="75" t="s">
        <v>64</v>
      </c>
      <c r="E22" s="75" t="s">
        <v>64</v>
      </c>
      <c r="F22" s="75" t="s">
        <v>64</v>
      </c>
    </row>
    <row r="23" spans="1:6" ht="15" customHeight="1">
      <c r="A23" s="75" t="s">
        <v>1</v>
      </c>
      <c r="B23" s="75" t="s">
        <v>1</v>
      </c>
      <c r="C23" s="75" t="s">
        <v>1</v>
      </c>
      <c r="D23" s="75" t="s">
        <v>1</v>
      </c>
      <c r="E23" s="75" t="s">
        <v>1</v>
      </c>
      <c r="F23" s="75" t="s">
        <v>1</v>
      </c>
    </row>
    <row r="24" spans="1:6" ht="15" customHeight="1">
      <c r="A24" s="74" t="s">
        <v>125</v>
      </c>
      <c r="B24" s="74" t="s">
        <v>385</v>
      </c>
      <c r="C24" s="74" t="s">
        <v>1</v>
      </c>
      <c r="D24" s="74" t="s">
        <v>1</v>
      </c>
      <c r="E24" s="74" t="s">
        <v>1</v>
      </c>
      <c r="F24" s="74" t="s">
        <v>1</v>
      </c>
    </row>
    <row r="25" spans="1:6" ht="15" customHeight="1">
      <c r="A25" s="75" t="s">
        <v>64</v>
      </c>
      <c r="B25" s="75" t="s">
        <v>64</v>
      </c>
      <c r="C25" s="75" t="s">
        <v>64</v>
      </c>
      <c r="D25" s="75" t="s">
        <v>64</v>
      </c>
      <c r="E25" s="75" t="s">
        <v>64</v>
      </c>
      <c r="F25" s="75" t="s">
        <v>64</v>
      </c>
    </row>
    <row r="26" spans="1:6" ht="15" customHeight="1">
      <c r="A26" s="75" t="s">
        <v>1</v>
      </c>
      <c r="B26" s="75" t="s">
        <v>1</v>
      </c>
      <c r="C26" s="75" t="s">
        <v>1</v>
      </c>
      <c r="D26" s="75" t="s">
        <v>1</v>
      </c>
      <c r="E26" s="75" t="s">
        <v>1</v>
      </c>
      <c r="F26" s="75" t="s">
        <v>1</v>
      </c>
    </row>
    <row r="27" spans="1:6" ht="15" customHeight="1">
      <c r="A27" s="74" t="s">
        <v>127</v>
      </c>
      <c r="B27" s="74" t="s">
        <v>386</v>
      </c>
      <c r="C27" s="74" t="s">
        <v>1</v>
      </c>
      <c r="D27" s="74" t="s">
        <v>1</v>
      </c>
      <c r="E27" s="74" t="s">
        <v>1</v>
      </c>
      <c r="F27" s="74" t="s">
        <v>1</v>
      </c>
    </row>
    <row r="28" spans="1:6" ht="15" customHeight="1">
      <c r="A28" s="75" t="s">
        <v>64</v>
      </c>
      <c r="B28" s="75" t="s">
        <v>64</v>
      </c>
      <c r="C28" s="75" t="s">
        <v>64</v>
      </c>
      <c r="D28" s="75" t="s">
        <v>64</v>
      </c>
      <c r="E28" s="75" t="s">
        <v>64</v>
      </c>
      <c r="F28" s="75" t="s">
        <v>64</v>
      </c>
    </row>
    <row r="29" spans="1:6" ht="15" customHeight="1">
      <c r="A29" s="75" t="s">
        <v>1</v>
      </c>
      <c r="B29" s="75" t="s">
        <v>1</v>
      </c>
      <c r="C29" s="75" t="s">
        <v>1</v>
      </c>
      <c r="D29" s="75" t="s">
        <v>1</v>
      </c>
      <c r="E29" s="75" t="s">
        <v>1</v>
      </c>
      <c r="F29" s="75" t="s">
        <v>1</v>
      </c>
    </row>
  </sheetData>
  <sheetProtection/>
  <mergeCells count="4">
    <mergeCell ref="A1:A2"/>
    <mergeCell ref="B1:B2"/>
    <mergeCell ref="C1:C2"/>
    <mergeCell ref="D1:F1"/>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86" t="s">
        <v>6</v>
      </c>
      <c r="B1" s="86" t="s">
        <v>189</v>
      </c>
      <c r="C1" s="86" t="s">
        <v>190</v>
      </c>
      <c r="D1" s="86" t="s">
        <v>191</v>
      </c>
      <c r="E1" s="86"/>
      <c r="F1" s="86"/>
    </row>
    <row r="2" spans="1:6" ht="15" customHeight="1">
      <c r="A2" s="86"/>
      <c r="B2" s="86"/>
      <c r="C2" s="86"/>
      <c r="D2" s="2" t="s">
        <v>192</v>
      </c>
      <c r="E2" s="2" t="s">
        <v>193</v>
      </c>
      <c r="F2" s="2" t="s">
        <v>194</v>
      </c>
    </row>
    <row r="3" spans="1:6" ht="15" customHeight="1">
      <c r="A3" s="3" t="s">
        <v>59</v>
      </c>
      <c r="B3" s="3" t="s">
        <v>195</v>
      </c>
      <c r="C3" s="3"/>
      <c r="D3" s="3"/>
      <c r="E3" s="3"/>
      <c r="F3" s="3"/>
    </row>
    <row r="4" spans="1:6" ht="15" customHeight="1">
      <c r="A4" s="1" t="s">
        <v>64</v>
      </c>
      <c r="B4" s="1" t="s">
        <v>64</v>
      </c>
      <c r="C4" s="1" t="s">
        <v>64</v>
      </c>
      <c r="D4" s="1" t="s">
        <v>64</v>
      </c>
      <c r="E4" s="1" t="s">
        <v>64</v>
      </c>
      <c r="F4" s="1" t="s">
        <v>64</v>
      </c>
    </row>
    <row r="5" spans="1:6" ht="15" customHeight="1">
      <c r="A5" s="1"/>
      <c r="B5" s="1"/>
      <c r="C5" s="1" t="s">
        <v>1</v>
      </c>
      <c r="D5" s="1" t="s">
        <v>1</v>
      </c>
      <c r="E5" s="1" t="s">
        <v>1</v>
      </c>
      <c r="F5" s="1" t="s">
        <v>1</v>
      </c>
    </row>
    <row r="6" spans="1:6" ht="15" customHeight="1">
      <c r="A6" s="3" t="s">
        <v>84</v>
      </c>
      <c r="B6" s="3" t="s">
        <v>196</v>
      </c>
      <c r="C6" s="3"/>
      <c r="D6" s="3"/>
      <c r="E6" s="3"/>
      <c r="F6" s="3"/>
    </row>
    <row r="7" spans="1:6" ht="15" customHeight="1">
      <c r="A7" s="1" t="s">
        <v>64</v>
      </c>
      <c r="B7" s="1" t="s">
        <v>64</v>
      </c>
      <c r="C7" s="1" t="s">
        <v>64</v>
      </c>
      <c r="D7" s="1" t="s">
        <v>64</v>
      </c>
      <c r="E7" s="1" t="s">
        <v>64</v>
      </c>
      <c r="F7" s="1" t="s">
        <v>64</v>
      </c>
    </row>
    <row r="8" spans="1:6" ht="15" customHeight="1">
      <c r="A8" s="1"/>
      <c r="B8" s="1"/>
      <c r="C8" s="1" t="s">
        <v>1</v>
      </c>
      <c r="D8" s="1" t="s">
        <v>1</v>
      </c>
      <c r="E8" s="1" t="s">
        <v>1</v>
      </c>
      <c r="F8" s="1" t="s">
        <v>1</v>
      </c>
    </row>
    <row r="9" spans="1:6" ht="15" customHeight="1">
      <c r="A9" s="3" t="s">
        <v>109</v>
      </c>
      <c r="B9" s="3" t="s">
        <v>197</v>
      </c>
      <c r="C9" s="3"/>
      <c r="D9" s="3"/>
      <c r="E9" s="3"/>
      <c r="F9" s="3"/>
    </row>
    <row r="10" spans="1:6" ht="15" customHeight="1">
      <c r="A10" s="1" t="s">
        <v>64</v>
      </c>
      <c r="B10" s="1" t="s">
        <v>64</v>
      </c>
      <c r="C10" s="1" t="s">
        <v>64</v>
      </c>
      <c r="D10" s="1" t="s">
        <v>64</v>
      </c>
      <c r="E10" s="1" t="s">
        <v>64</v>
      </c>
      <c r="F10" s="1" t="s">
        <v>64</v>
      </c>
    </row>
    <row r="11" spans="1:6" ht="15" customHeight="1">
      <c r="A11" s="1"/>
      <c r="B11" s="1"/>
      <c r="C11" s="1" t="s">
        <v>1</v>
      </c>
      <c r="D11" s="1" t="s">
        <v>1</v>
      </c>
      <c r="E11" s="1" t="s">
        <v>1</v>
      </c>
      <c r="F11" s="1" t="s">
        <v>1</v>
      </c>
    </row>
    <row r="12" spans="1:6" ht="15" customHeight="1">
      <c r="A12" s="3" t="s">
        <v>111</v>
      </c>
      <c r="B12" s="3" t="s">
        <v>198</v>
      </c>
      <c r="C12" s="3"/>
      <c r="D12" s="3"/>
      <c r="E12" s="3"/>
      <c r="F12" s="3"/>
    </row>
    <row r="13" spans="1:6" ht="15" customHeight="1">
      <c r="A13" s="1" t="s">
        <v>64</v>
      </c>
      <c r="B13" s="1" t="s">
        <v>64</v>
      </c>
      <c r="C13" s="1" t="s">
        <v>64</v>
      </c>
      <c r="D13" s="1" t="s">
        <v>64</v>
      </c>
      <c r="E13" s="1" t="s">
        <v>64</v>
      </c>
      <c r="F13" s="1" t="s">
        <v>64</v>
      </c>
    </row>
    <row r="14" spans="1:6" ht="15" customHeight="1">
      <c r="A14" s="1" t="s">
        <v>1</v>
      </c>
      <c r="B14" s="1" t="s">
        <v>1</v>
      </c>
      <c r="C14" s="1" t="s">
        <v>1</v>
      </c>
      <c r="D14" s="1" t="s">
        <v>1</v>
      </c>
      <c r="E14" s="1" t="s">
        <v>1</v>
      </c>
      <c r="F14" s="1" t="s">
        <v>1</v>
      </c>
    </row>
    <row r="15" spans="1:6" ht="15" customHeight="1">
      <c r="A15" s="3" t="s">
        <v>115</v>
      </c>
      <c r="B15" s="3" t="s">
        <v>199</v>
      </c>
      <c r="C15" s="3"/>
      <c r="D15" s="3"/>
      <c r="E15" s="3"/>
      <c r="F15" s="3"/>
    </row>
    <row r="16" spans="1:6" ht="15" customHeight="1">
      <c r="A16" s="1" t="s">
        <v>64</v>
      </c>
      <c r="B16" s="1" t="s">
        <v>64</v>
      </c>
      <c r="C16" s="1" t="s">
        <v>64</v>
      </c>
      <c r="D16" s="1" t="s">
        <v>64</v>
      </c>
      <c r="E16" s="1" t="s">
        <v>64</v>
      </c>
      <c r="F16" s="1" t="s">
        <v>64</v>
      </c>
    </row>
    <row r="17" spans="1:6" ht="15" customHeight="1">
      <c r="A17" s="1" t="s">
        <v>1</v>
      </c>
      <c r="B17" s="1" t="s">
        <v>1</v>
      </c>
      <c r="C17" s="1" t="s">
        <v>1</v>
      </c>
      <c r="D17" s="1" t="s">
        <v>1</v>
      </c>
      <c r="E17" s="1" t="s">
        <v>1</v>
      </c>
      <c r="F17" s="1" t="s">
        <v>1</v>
      </c>
    </row>
    <row r="18" spans="1:6" ht="15" customHeight="1">
      <c r="A18" s="3" t="s">
        <v>111</v>
      </c>
      <c r="B18" s="3" t="s">
        <v>200</v>
      </c>
      <c r="C18" s="3"/>
      <c r="D18" s="3"/>
      <c r="E18" s="3"/>
      <c r="F18" s="3"/>
    </row>
    <row r="19" spans="1:6" ht="15" customHeight="1">
      <c r="A19" s="1" t="s">
        <v>64</v>
      </c>
      <c r="B19" s="1" t="s">
        <v>64</v>
      </c>
      <c r="C19" s="1" t="s">
        <v>64</v>
      </c>
      <c r="D19" s="1" t="s">
        <v>64</v>
      </c>
      <c r="E19" s="1" t="s">
        <v>64</v>
      </c>
      <c r="F19" s="1" t="s">
        <v>64</v>
      </c>
    </row>
    <row r="20" spans="1:6" ht="15" customHeight="1">
      <c r="A20" s="1" t="s">
        <v>1</v>
      </c>
      <c r="B20" s="1" t="s">
        <v>1</v>
      </c>
      <c r="C20" s="1" t="s">
        <v>1</v>
      </c>
      <c r="D20" s="1" t="s">
        <v>1</v>
      </c>
      <c r="E20" s="1" t="s">
        <v>1</v>
      </c>
      <c r="F20" s="1"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2" t="s">
        <v>6</v>
      </c>
      <c r="B1" s="2" t="s">
        <v>201</v>
      </c>
      <c r="C1" s="2" t="s">
        <v>7</v>
      </c>
    </row>
    <row r="2" spans="1:3" ht="15" customHeight="1">
      <c r="A2" s="1" t="s">
        <v>64</v>
      </c>
      <c r="B2" s="1" t="s">
        <v>64</v>
      </c>
      <c r="C2" s="1" t="s">
        <v>64</v>
      </c>
    </row>
    <row r="3" spans="1:3" ht="15" customHeight="1">
      <c r="A3" s="1" t="s">
        <v>1</v>
      </c>
      <c r="B3" s="1" t="s">
        <v>1</v>
      </c>
      <c r="C3" s="1" t="s">
        <v>1</v>
      </c>
    </row>
  </sheetData>
  <sheetProtection/>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2021-10-19T12:04:06Z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